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e Data Coordinator\PLS\FY16-17\Tables\Final\"/>
    </mc:Choice>
  </mc:AlternateContent>
  <xr:revisionPtr revIDLastSave="0" documentId="8_{66AF5241-023A-4701-8613-4CEE15900425}" xr6:coauthVersionLast="31" xr6:coauthVersionMax="31" xr10:uidLastSave="{00000000-0000-0000-0000-000000000000}"/>
  <bookViews>
    <workbookView xWindow="0" yWindow="0" windowWidth="20490" windowHeight="7530" activeTab="2" xr2:uid="{00000000-000D-0000-FFFF-FFFF00000000}"/>
  </bookViews>
  <sheets>
    <sheet name="Summary" sheetId="17" r:id="rId1"/>
    <sheet name="Table 1" sheetId="2" r:id="rId2"/>
    <sheet name="Table 2" sheetId="3" r:id="rId3"/>
    <sheet name="Table 3" sheetId="4" r:id="rId4"/>
    <sheet name="Table  4" sheetId="6" r:id="rId5"/>
    <sheet name="Table 5" sheetId="7" r:id="rId6"/>
    <sheet name="Table 6" sheetId="8" r:id="rId7"/>
    <sheet name="Table 8" sheetId="10" r:id="rId8"/>
    <sheet name="Table 7" sheetId="9" r:id="rId9"/>
    <sheet name="Table 9" sheetId="11" r:id="rId10"/>
    <sheet name="Table 10" sheetId="12" r:id="rId11"/>
    <sheet name="Table 11" sheetId="13" r:id="rId12"/>
    <sheet name="Table 12" sheetId="14" r:id="rId13"/>
    <sheet name="Table 13" sheetId="15" r:id="rId14"/>
    <sheet name="Table 14" sheetId="16" r:id="rId15"/>
    <sheet name="All" sheetId="1" r:id="rId16"/>
  </sheets>
  <externalReferences>
    <externalReference r:id="rId17"/>
    <externalReference r:id="rId18"/>
  </externalReferences>
  <definedNames>
    <definedName name="Data">All!$A$4:$MB$84</definedName>
  </definedNames>
  <calcPr calcId="179017"/>
</workbook>
</file>

<file path=xl/calcChain.xml><?xml version="1.0" encoding="utf-8"?>
<calcChain xmlns="http://schemas.openxmlformats.org/spreadsheetml/2006/main">
  <c r="H50" i="17" l="1"/>
  <c r="E50" i="17"/>
  <c r="H49" i="17"/>
  <c r="E49" i="17"/>
  <c r="H48" i="17"/>
  <c r="E48" i="17"/>
  <c r="H47" i="17"/>
  <c r="E47" i="17"/>
  <c r="F41" i="17"/>
  <c r="D41" i="17"/>
  <c r="F40" i="17"/>
  <c r="D40" i="17"/>
  <c r="F39" i="17"/>
  <c r="D39" i="17"/>
  <c r="F38" i="17"/>
  <c r="D38" i="17"/>
  <c r="H31" i="17"/>
  <c r="F31" i="17"/>
  <c r="D31" i="17"/>
  <c r="H30" i="17"/>
  <c r="F30" i="17"/>
  <c r="D30" i="17"/>
  <c r="H29" i="17"/>
  <c r="F29" i="17"/>
  <c r="D29" i="17"/>
  <c r="H28" i="17"/>
  <c r="F28" i="17"/>
  <c r="D28" i="17"/>
  <c r="I22" i="17"/>
  <c r="F22" i="17"/>
  <c r="D22" i="17"/>
  <c r="I21" i="17"/>
  <c r="F21" i="17"/>
  <c r="D21" i="17"/>
  <c r="I20" i="17"/>
  <c r="F20" i="17"/>
  <c r="D20" i="17"/>
  <c r="I19" i="17"/>
  <c r="F19" i="17"/>
  <c r="D19" i="17"/>
  <c r="F13" i="17"/>
  <c r="D13" i="17"/>
  <c r="F12" i="17"/>
  <c r="D12" i="17"/>
  <c r="F11" i="17"/>
  <c r="D11" i="17"/>
  <c r="F10" i="17"/>
  <c r="D10" i="17"/>
  <c r="C83" i="16"/>
  <c r="D83" i="16"/>
  <c r="E83" i="16"/>
  <c r="F83" i="16"/>
  <c r="G83" i="16"/>
  <c r="H83" i="16"/>
  <c r="I83" i="16"/>
  <c r="J83" i="16"/>
  <c r="K83" i="16"/>
  <c r="L83" i="16"/>
  <c r="M83" i="16"/>
  <c r="C84" i="16"/>
  <c r="D84" i="16"/>
  <c r="E84" i="16"/>
  <c r="F84" i="16"/>
  <c r="G84" i="16"/>
  <c r="H84" i="16"/>
  <c r="I84" i="16"/>
  <c r="J84" i="16"/>
  <c r="K84" i="16"/>
  <c r="L84" i="16"/>
  <c r="M84" i="16"/>
  <c r="C85" i="16"/>
  <c r="D85" i="16"/>
  <c r="E85" i="16"/>
  <c r="F85" i="16"/>
  <c r="G85" i="16"/>
  <c r="H85" i="16"/>
  <c r="I85" i="16"/>
  <c r="J85" i="16"/>
  <c r="O85" i="16" s="1"/>
  <c r="K85" i="16"/>
  <c r="L85" i="16"/>
  <c r="M85" i="16"/>
  <c r="C86" i="16"/>
  <c r="D86" i="16"/>
  <c r="E86" i="16"/>
  <c r="F86" i="16"/>
  <c r="G86" i="16"/>
  <c r="H86" i="16"/>
  <c r="I86" i="16"/>
  <c r="J86" i="16"/>
  <c r="K86" i="16"/>
  <c r="P86" i="16" s="1"/>
  <c r="L86" i="16"/>
  <c r="M86" i="16"/>
  <c r="C87" i="16"/>
  <c r="D87" i="16"/>
  <c r="E87" i="16"/>
  <c r="F87" i="16"/>
  <c r="G87" i="16"/>
  <c r="H87" i="16"/>
  <c r="I87" i="16"/>
  <c r="J87" i="16"/>
  <c r="K87" i="16"/>
  <c r="L87" i="16"/>
  <c r="M87" i="16"/>
  <c r="C88" i="16"/>
  <c r="D88" i="16"/>
  <c r="E88" i="16"/>
  <c r="F88" i="16"/>
  <c r="G88" i="16"/>
  <c r="H88" i="16"/>
  <c r="I88" i="16"/>
  <c r="N88" i="16" s="1"/>
  <c r="J88" i="16"/>
  <c r="K88" i="16"/>
  <c r="L88" i="16"/>
  <c r="M88" i="16"/>
  <c r="C89" i="16"/>
  <c r="D89" i="16"/>
  <c r="E89" i="16"/>
  <c r="F89" i="16"/>
  <c r="G89" i="16"/>
  <c r="H89" i="16"/>
  <c r="I89" i="16"/>
  <c r="J89" i="16"/>
  <c r="K89" i="16"/>
  <c r="L89" i="16"/>
  <c r="M89" i="16"/>
  <c r="C90" i="16"/>
  <c r="D90" i="16"/>
  <c r="E90" i="16"/>
  <c r="F90" i="16"/>
  <c r="G90" i="16"/>
  <c r="H90" i="16"/>
  <c r="I90" i="16"/>
  <c r="J90" i="16"/>
  <c r="K90" i="16"/>
  <c r="L90" i="16"/>
  <c r="M90" i="16"/>
  <c r="C91" i="16"/>
  <c r="D91" i="16"/>
  <c r="E91" i="16"/>
  <c r="F91" i="16"/>
  <c r="G91" i="16"/>
  <c r="H91" i="16"/>
  <c r="I91" i="16"/>
  <c r="J91" i="16"/>
  <c r="K91" i="16"/>
  <c r="L91" i="16"/>
  <c r="M91" i="16"/>
  <c r="C92" i="16"/>
  <c r="D92" i="16"/>
  <c r="E92" i="16"/>
  <c r="F92" i="16"/>
  <c r="G92" i="16"/>
  <c r="H92" i="16"/>
  <c r="I92" i="16"/>
  <c r="J92" i="16"/>
  <c r="K92" i="16"/>
  <c r="L92" i="16"/>
  <c r="M92" i="16"/>
  <c r="M82" i="16"/>
  <c r="L82" i="16"/>
  <c r="K82" i="16"/>
  <c r="J82" i="16"/>
  <c r="I82" i="16"/>
  <c r="H82" i="16"/>
  <c r="G82" i="16"/>
  <c r="F82" i="16"/>
  <c r="E82" i="16"/>
  <c r="D82" i="16"/>
  <c r="C82" i="16"/>
  <c r="B92" i="16"/>
  <c r="B91" i="16"/>
  <c r="B90" i="16"/>
  <c r="B89" i="16"/>
  <c r="B88" i="16"/>
  <c r="B87" i="16"/>
  <c r="B86" i="16"/>
  <c r="B85" i="16"/>
  <c r="B84" i="16"/>
  <c r="B83" i="16"/>
  <c r="B82" i="16"/>
  <c r="B79" i="16"/>
  <c r="A79" i="16"/>
  <c r="B78" i="16"/>
  <c r="A78" i="16"/>
  <c r="B77" i="16"/>
  <c r="A77" i="16"/>
  <c r="B76" i="16"/>
  <c r="A76" i="16"/>
  <c r="B75" i="16"/>
  <c r="A75" i="16"/>
  <c r="B74" i="16"/>
  <c r="A74" i="16"/>
  <c r="B73" i="16"/>
  <c r="A73" i="16"/>
  <c r="B72" i="16"/>
  <c r="A72" i="16"/>
  <c r="B71" i="16"/>
  <c r="A71" i="16"/>
  <c r="B70" i="16"/>
  <c r="A70" i="16"/>
  <c r="B69" i="16"/>
  <c r="A69" i="16"/>
  <c r="B68" i="16"/>
  <c r="A68" i="16"/>
  <c r="B65" i="16"/>
  <c r="A65" i="16"/>
  <c r="D65" i="16" s="1"/>
  <c r="B64" i="16"/>
  <c r="A64" i="16"/>
  <c r="E64" i="16" s="1"/>
  <c r="B63" i="16"/>
  <c r="A63" i="16"/>
  <c r="F63" i="16" s="1"/>
  <c r="B62" i="16"/>
  <c r="A62" i="16"/>
  <c r="D62" i="16" s="1"/>
  <c r="B61" i="16"/>
  <c r="A61" i="16"/>
  <c r="D61" i="16" s="1"/>
  <c r="B60" i="16"/>
  <c r="A60" i="16"/>
  <c r="E60" i="16" s="1"/>
  <c r="B59" i="16"/>
  <c r="A59" i="16"/>
  <c r="G59" i="16" s="1"/>
  <c r="B58" i="16"/>
  <c r="A58" i="16"/>
  <c r="B57" i="16"/>
  <c r="A57" i="16"/>
  <c r="M57" i="16" s="1"/>
  <c r="B56" i="16"/>
  <c r="A56" i="16"/>
  <c r="J56" i="16" s="1"/>
  <c r="B55" i="16"/>
  <c r="A55" i="16"/>
  <c r="K55" i="16" s="1"/>
  <c r="B54" i="16"/>
  <c r="A54" i="16"/>
  <c r="E54" i="16" s="1"/>
  <c r="B53" i="16"/>
  <c r="A53" i="16"/>
  <c r="E53" i="16" s="1"/>
  <c r="B52" i="16"/>
  <c r="A52" i="16"/>
  <c r="B51" i="16"/>
  <c r="A51" i="16"/>
  <c r="K51" i="16" s="1"/>
  <c r="B50" i="16"/>
  <c r="A50" i="16"/>
  <c r="I50" i="16" s="1"/>
  <c r="B49" i="16"/>
  <c r="A49" i="16"/>
  <c r="I49" i="16" s="1"/>
  <c r="B48" i="16"/>
  <c r="A48" i="16"/>
  <c r="B47" i="16"/>
  <c r="A47" i="16"/>
  <c r="C47" i="16" s="1"/>
  <c r="B46" i="16"/>
  <c r="A46" i="16"/>
  <c r="M46" i="16" s="1"/>
  <c r="B45" i="16"/>
  <c r="A45" i="16"/>
  <c r="M45" i="16" s="1"/>
  <c r="B44" i="16"/>
  <c r="A44" i="16"/>
  <c r="F44" i="16" s="1"/>
  <c r="B43" i="16"/>
  <c r="A43" i="16"/>
  <c r="G43" i="16" s="1"/>
  <c r="B42" i="16"/>
  <c r="A42" i="16"/>
  <c r="B41" i="16"/>
  <c r="A41" i="16"/>
  <c r="M41" i="16" s="1"/>
  <c r="B40" i="16"/>
  <c r="A40" i="16"/>
  <c r="J40" i="16" s="1"/>
  <c r="B39" i="16"/>
  <c r="A39" i="16"/>
  <c r="I39" i="16" s="1"/>
  <c r="B38" i="16"/>
  <c r="A38" i="16"/>
  <c r="G38" i="16" s="1"/>
  <c r="B37" i="16"/>
  <c r="A37" i="16"/>
  <c r="B36" i="16"/>
  <c r="A36" i="16"/>
  <c r="B35" i="16"/>
  <c r="A35" i="16"/>
  <c r="B34" i="16"/>
  <c r="A34" i="16"/>
  <c r="B33" i="16"/>
  <c r="A33" i="16"/>
  <c r="G33" i="16" s="1"/>
  <c r="B32" i="16"/>
  <c r="A32" i="16"/>
  <c r="B31" i="16"/>
  <c r="A31" i="16"/>
  <c r="B30" i="16"/>
  <c r="A30" i="16"/>
  <c r="B29" i="16"/>
  <c r="A29" i="16"/>
  <c r="K29" i="16" s="1"/>
  <c r="B28" i="16"/>
  <c r="A28" i="16"/>
  <c r="H28" i="16" s="1"/>
  <c r="B27" i="16"/>
  <c r="A27" i="16"/>
  <c r="B26" i="16"/>
  <c r="A26" i="16"/>
  <c r="B25" i="16"/>
  <c r="A25" i="16"/>
  <c r="B24" i="16"/>
  <c r="A24" i="16"/>
  <c r="B23" i="16"/>
  <c r="A23" i="16"/>
  <c r="H23" i="16" s="1"/>
  <c r="B22" i="16"/>
  <c r="A22" i="16"/>
  <c r="B21" i="16"/>
  <c r="A21" i="16"/>
  <c r="B20" i="16"/>
  <c r="A20" i="16"/>
  <c r="B19" i="16"/>
  <c r="A19" i="16"/>
  <c r="B18" i="16"/>
  <c r="A18" i="16"/>
  <c r="B17" i="16"/>
  <c r="A17" i="16"/>
  <c r="B16" i="16"/>
  <c r="A16" i="16"/>
  <c r="B15" i="16"/>
  <c r="A15" i="16"/>
  <c r="B14" i="16"/>
  <c r="A14" i="16"/>
  <c r="B13" i="16"/>
  <c r="A13" i="16"/>
  <c r="L13" i="16" s="1"/>
  <c r="B12" i="16"/>
  <c r="A12" i="16"/>
  <c r="B11" i="16"/>
  <c r="A11" i="16"/>
  <c r="B10" i="16"/>
  <c r="A10" i="16"/>
  <c r="B9" i="16"/>
  <c r="A9" i="16"/>
  <c r="B8" i="16"/>
  <c r="A8" i="16"/>
  <c r="L8" i="16" s="1"/>
  <c r="C84" i="15"/>
  <c r="D84" i="15"/>
  <c r="E84" i="15"/>
  <c r="F84" i="15" s="1"/>
  <c r="G84" i="15"/>
  <c r="H84" i="15"/>
  <c r="I84" i="15"/>
  <c r="C85" i="15"/>
  <c r="D85" i="15"/>
  <c r="E85" i="15"/>
  <c r="F85" i="15" s="1"/>
  <c r="G85" i="15"/>
  <c r="H85" i="15"/>
  <c r="I85" i="15"/>
  <c r="C86" i="15"/>
  <c r="D86" i="15"/>
  <c r="E86" i="15"/>
  <c r="F86" i="15" s="1"/>
  <c r="G86" i="15"/>
  <c r="H86" i="15"/>
  <c r="I86" i="15"/>
  <c r="C87" i="15"/>
  <c r="D87" i="15"/>
  <c r="E87" i="15"/>
  <c r="F87" i="15" s="1"/>
  <c r="G87" i="15"/>
  <c r="H87" i="15"/>
  <c r="I87" i="15"/>
  <c r="C88" i="15"/>
  <c r="D88" i="15"/>
  <c r="E88" i="15"/>
  <c r="F88" i="15" s="1"/>
  <c r="G88" i="15"/>
  <c r="H88" i="15"/>
  <c r="I88" i="15"/>
  <c r="C89" i="15"/>
  <c r="D89" i="15"/>
  <c r="E89" i="15"/>
  <c r="F89" i="15" s="1"/>
  <c r="G89" i="15"/>
  <c r="H89" i="15"/>
  <c r="I89" i="15"/>
  <c r="C90" i="15"/>
  <c r="D90" i="15"/>
  <c r="E90" i="15"/>
  <c r="F90" i="15" s="1"/>
  <c r="G90" i="15"/>
  <c r="H90" i="15"/>
  <c r="I90" i="15"/>
  <c r="C91" i="15"/>
  <c r="D91" i="15"/>
  <c r="E91" i="15"/>
  <c r="F91" i="15" s="1"/>
  <c r="G91" i="15"/>
  <c r="H91" i="15"/>
  <c r="I91" i="15"/>
  <c r="C92" i="15"/>
  <c r="D92" i="15"/>
  <c r="E92" i="15"/>
  <c r="F92" i="15" s="1"/>
  <c r="G92" i="15"/>
  <c r="H92" i="15"/>
  <c r="I92" i="15"/>
  <c r="C93" i="15"/>
  <c r="D93" i="15"/>
  <c r="E93" i="15"/>
  <c r="F93" i="15" s="1"/>
  <c r="G93" i="15"/>
  <c r="H93" i="15"/>
  <c r="I93" i="15"/>
  <c r="I83" i="15"/>
  <c r="H83" i="15"/>
  <c r="G83" i="15"/>
  <c r="E83" i="15"/>
  <c r="F83" i="15" s="1"/>
  <c r="D83" i="15"/>
  <c r="C83" i="15"/>
  <c r="H83" i="9"/>
  <c r="H84" i="9"/>
  <c r="H85" i="9"/>
  <c r="H86" i="9"/>
  <c r="H87" i="9"/>
  <c r="H88" i="9"/>
  <c r="H89" i="9"/>
  <c r="H90" i="9"/>
  <c r="H91" i="9"/>
  <c r="H92" i="9"/>
  <c r="H82" i="9"/>
  <c r="H69" i="9"/>
  <c r="H70" i="9"/>
  <c r="H71" i="9"/>
  <c r="H72" i="9"/>
  <c r="H73" i="9"/>
  <c r="H74" i="9"/>
  <c r="H75" i="9"/>
  <c r="H76" i="9"/>
  <c r="H77" i="9"/>
  <c r="H78" i="9"/>
  <c r="H79" i="9"/>
  <c r="H6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8" i="9"/>
  <c r="B93" i="15"/>
  <c r="B92" i="15"/>
  <c r="B91" i="15"/>
  <c r="B90" i="15"/>
  <c r="B89" i="15"/>
  <c r="B88" i="15"/>
  <c r="B87" i="15"/>
  <c r="B86" i="15"/>
  <c r="B85" i="15"/>
  <c r="B84" i="15"/>
  <c r="B83" i="15"/>
  <c r="B80" i="15"/>
  <c r="A80" i="15"/>
  <c r="G80" i="15" s="1"/>
  <c r="B79" i="15"/>
  <c r="A79" i="15"/>
  <c r="B78" i="15"/>
  <c r="A78" i="15"/>
  <c r="D78" i="15" s="1"/>
  <c r="B77" i="15"/>
  <c r="A77" i="15"/>
  <c r="G77" i="15" s="1"/>
  <c r="B76" i="15"/>
  <c r="A76" i="15"/>
  <c r="B75" i="15"/>
  <c r="A75" i="15"/>
  <c r="D75" i="15" s="1"/>
  <c r="B74" i="15"/>
  <c r="A74" i="15"/>
  <c r="B73" i="15"/>
  <c r="A73" i="15"/>
  <c r="B72" i="15"/>
  <c r="A72" i="15"/>
  <c r="G72" i="15" s="1"/>
  <c r="B71" i="15"/>
  <c r="A71" i="15"/>
  <c r="B70" i="15"/>
  <c r="A70" i="15"/>
  <c r="I70" i="15" s="1"/>
  <c r="B69" i="15"/>
  <c r="A69" i="15"/>
  <c r="C69" i="15" s="1"/>
  <c r="B66" i="15"/>
  <c r="A66" i="15"/>
  <c r="I66" i="15" s="1"/>
  <c r="B65" i="15"/>
  <c r="A65" i="15"/>
  <c r="G65" i="15" s="1"/>
  <c r="B64" i="15"/>
  <c r="A64" i="15"/>
  <c r="B63" i="15"/>
  <c r="A63" i="15"/>
  <c r="D63" i="15" s="1"/>
  <c r="B62" i="15"/>
  <c r="A62" i="15"/>
  <c r="B61" i="15"/>
  <c r="A61" i="15"/>
  <c r="B60" i="15"/>
  <c r="A60" i="15"/>
  <c r="H60" i="15" s="1"/>
  <c r="B59" i="15"/>
  <c r="A59" i="15"/>
  <c r="G59" i="15" s="1"/>
  <c r="B58" i="15"/>
  <c r="A58" i="15"/>
  <c r="B57" i="15"/>
  <c r="A57" i="15"/>
  <c r="D57" i="15" s="1"/>
  <c r="B56" i="15"/>
  <c r="A56" i="15"/>
  <c r="C56" i="15" s="1"/>
  <c r="B55" i="15"/>
  <c r="A55" i="15"/>
  <c r="B54" i="15"/>
  <c r="A54" i="15"/>
  <c r="B53" i="15"/>
  <c r="A53" i="15"/>
  <c r="H53" i="15" s="1"/>
  <c r="B52" i="15"/>
  <c r="A52" i="15"/>
  <c r="B51" i="15"/>
  <c r="A51" i="15"/>
  <c r="E51" i="15" s="1"/>
  <c r="F51" i="15" s="1"/>
  <c r="B50" i="15"/>
  <c r="A50" i="15"/>
  <c r="B49" i="15"/>
  <c r="A49" i="15"/>
  <c r="B48" i="15"/>
  <c r="A48" i="15"/>
  <c r="I48" i="15" s="1"/>
  <c r="B47" i="15"/>
  <c r="A47" i="15"/>
  <c r="H47" i="15" s="1"/>
  <c r="B46" i="15"/>
  <c r="A46" i="15"/>
  <c r="G46" i="15" s="1"/>
  <c r="B45" i="15"/>
  <c r="A45" i="15"/>
  <c r="E45" i="15" s="1"/>
  <c r="F45" i="15" s="1"/>
  <c r="B44" i="15"/>
  <c r="A44" i="15"/>
  <c r="D44" i="15" s="1"/>
  <c r="B43" i="15"/>
  <c r="A43" i="15"/>
  <c r="C43" i="15" s="1"/>
  <c r="B42" i="15"/>
  <c r="A42" i="15"/>
  <c r="B41" i="15"/>
  <c r="A41" i="15"/>
  <c r="I41" i="15" s="1"/>
  <c r="B40" i="15"/>
  <c r="A40" i="15"/>
  <c r="B39" i="15"/>
  <c r="A39" i="15"/>
  <c r="B38" i="15"/>
  <c r="A38" i="15"/>
  <c r="B37" i="15"/>
  <c r="A37" i="15"/>
  <c r="C37" i="15" s="1"/>
  <c r="B36" i="15"/>
  <c r="A36" i="15"/>
  <c r="B35" i="15"/>
  <c r="A35" i="15"/>
  <c r="I35" i="15" s="1"/>
  <c r="B34" i="15"/>
  <c r="A34" i="15"/>
  <c r="H34" i="15" s="1"/>
  <c r="B33" i="15"/>
  <c r="A33" i="15"/>
  <c r="G33" i="15" s="1"/>
  <c r="B32" i="15"/>
  <c r="A32" i="15"/>
  <c r="E32" i="15" s="1"/>
  <c r="F32" i="15" s="1"/>
  <c r="B31" i="15"/>
  <c r="A31" i="15"/>
  <c r="D31" i="15" s="1"/>
  <c r="B30" i="15"/>
  <c r="A30" i="15"/>
  <c r="C30" i="15" s="1"/>
  <c r="B29" i="15"/>
  <c r="A29" i="15"/>
  <c r="E29" i="15" s="1"/>
  <c r="F29" i="15" s="1"/>
  <c r="B28" i="15"/>
  <c r="A28" i="15"/>
  <c r="B27" i="15"/>
  <c r="A27" i="15"/>
  <c r="G27" i="15" s="1"/>
  <c r="B26" i="15"/>
  <c r="A26" i="15"/>
  <c r="B25" i="15"/>
  <c r="A25" i="15"/>
  <c r="D25" i="15" s="1"/>
  <c r="B24" i="15"/>
  <c r="A24" i="15"/>
  <c r="B23" i="15"/>
  <c r="A23" i="15"/>
  <c r="B22" i="15"/>
  <c r="A22" i="15"/>
  <c r="I22" i="15" s="1"/>
  <c r="B21" i="15"/>
  <c r="A21" i="15"/>
  <c r="H21" i="15" s="1"/>
  <c r="B20" i="15"/>
  <c r="A20" i="15"/>
  <c r="B19" i="15"/>
  <c r="A19" i="15"/>
  <c r="E19" i="15" s="1"/>
  <c r="F19" i="15" s="1"/>
  <c r="B18" i="15"/>
  <c r="A18" i="15"/>
  <c r="D18" i="15" s="1"/>
  <c r="B17" i="15"/>
  <c r="A17" i="15"/>
  <c r="G17" i="15" s="1"/>
  <c r="B16" i="15"/>
  <c r="A16" i="15"/>
  <c r="B15" i="15"/>
  <c r="A15" i="15"/>
  <c r="H15" i="15" s="1"/>
  <c r="B14" i="15"/>
  <c r="A14" i="15"/>
  <c r="B13" i="15"/>
  <c r="A13" i="15"/>
  <c r="E13" i="15" s="1"/>
  <c r="F13" i="15" s="1"/>
  <c r="B12" i="15"/>
  <c r="A12" i="15"/>
  <c r="B11" i="15"/>
  <c r="A11" i="15"/>
  <c r="C11" i="15" s="1"/>
  <c r="B10" i="15"/>
  <c r="A10" i="15"/>
  <c r="B9" i="15"/>
  <c r="A9" i="15"/>
  <c r="G9" i="15" s="1"/>
  <c r="C83" i="14"/>
  <c r="D83" i="14"/>
  <c r="E83" i="14"/>
  <c r="F83" i="14"/>
  <c r="G83" i="14"/>
  <c r="H83" i="14"/>
  <c r="I83" i="14"/>
  <c r="J83" i="14"/>
  <c r="K83" i="14"/>
  <c r="L83" i="14"/>
  <c r="M83" i="14"/>
  <c r="N83" i="14"/>
  <c r="P83" i="14"/>
  <c r="Q83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O84" i="14" s="1"/>
  <c r="P84" i="14"/>
  <c r="Q84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O85" i="14" s="1"/>
  <c r="P85" i="14"/>
  <c r="Q85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O86" i="14" s="1"/>
  <c r="P86" i="14"/>
  <c r="Q86" i="14"/>
  <c r="C87" i="14"/>
  <c r="D87" i="14"/>
  <c r="E87" i="14"/>
  <c r="F87" i="14"/>
  <c r="G87" i="14"/>
  <c r="H87" i="14"/>
  <c r="I87" i="14"/>
  <c r="J87" i="14"/>
  <c r="K87" i="14"/>
  <c r="L87" i="14"/>
  <c r="M87" i="14"/>
  <c r="N87" i="14"/>
  <c r="O87" i="14" s="1"/>
  <c r="P87" i="14"/>
  <c r="Q87" i="14"/>
  <c r="C88" i="14"/>
  <c r="D88" i="14"/>
  <c r="E88" i="14"/>
  <c r="F88" i="14"/>
  <c r="G88" i="14"/>
  <c r="H88" i="14"/>
  <c r="I88" i="14"/>
  <c r="J88" i="14"/>
  <c r="K88" i="14"/>
  <c r="L88" i="14"/>
  <c r="M88" i="14"/>
  <c r="N88" i="14"/>
  <c r="O88" i="14" s="1"/>
  <c r="P88" i="14"/>
  <c r="Q88" i="14"/>
  <c r="C89" i="14"/>
  <c r="D89" i="14"/>
  <c r="E89" i="14"/>
  <c r="F89" i="14"/>
  <c r="G89" i="14"/>
  <c r="H89" i="14"/>
  <c r="I89" i="14"/>
  <c r="J89" i="14"/>
  <c r="K89" i="14"/>
  <c r="L89" i="14"/>
  <c r="M89" i="14"/>
  <c r="N89" i="14"/>
  <c r="O89" i="14" s="1"/>
  <c r="P89" i="14"/>
  <c r="Q89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O90" i="14" s="1"/>
  <c r="P90" i="14"/>
  <c r="Q90" i="14"/>
  <c r="C91" i="14"/>
  <c r="D91" i="14"/>
  <c r="E91" i="14"/>
  <c r="F91" i="14"/>
  <c r="G91" i="14"/>
  <c r="H91" i="14"/>
  <c r="I91" i="14"/>
  <c r="J91" i="14"/>
  <c r="K91" i="14"/>
  <c r="L91" i="14"/>
  <c r="M91" i="14"/>
  <c r="N91" i="14"/>
  <c r="O91" i="14" s="1"/>
  <c r="P91" i="14"/>
  <c r="Q91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 s="1"/>
  <c r="P92" i="14"/>
  <c r="Q92" i="14"/>
  <c r="Q82" i="14"/>
  <c r="P82" i="14"/>
  <c r="N82" i="14"/>
  <c r="O82" i="14" s="1"/>
  <c r="M82" i="14"/>
  <c r="L82" i="14"/>
  <c r="K82" i="14"/>
  <c r="J82" i="14"/>
  <c r="I82" i="14"/>
  <c r="H82" i="14"/>
  <c r="G82" i="14"/>
  <c r="F82" i="14"/>
  <c r="E82" i="14"/>
  <c r="D82" i="14"/>
  <c r="C82" i="14"/>
  <c r="C69" i="14"/>
  <c r="D69" i="14"/>
  <c r="E69" i="14"/>
  <c r="F69" i="14"/>
  <c r="G69" i="14"/>
  <c r="H69" i="14"/>
  <c r="I69" i="14"/>
  <c r="J69" i="14"/>
  <c r="K69" i="14"/>
  <c r="L69" i="14"/>
  <c r="M69" i="14"/>
  <c r="N69" i="14"/>
  <c r="O69" i="14" s="1"/>
  <c r="P69" i="14"/>
  <c r="Q69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P70" i="14"/>
  <c r="Q70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 s="1"/>
  <c r="P71" i="14"/>
  <c r="Q71" i="14"/>
  <c r="C72" i="14"/>
  <c r="D72" i="14"/>
  <c r="E72" i="14"/>
  <c r="F72" i="14"/>
  <c r="G72" i="14"/>
  <c r="H72" i="14"/>
  <c r="I72" i="14"/>
  <c r="J72" i="14"/>
  <c r="K72" i="14"/>
  <c r="L72" i="14"/>
  <c r="M72" i="14"/>
  <c r="N72" i="14"/>
  <c r="O72" i="14" s="1"/>
  <c r="P72" i="14"/>
  <c r="Q72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 s="1"/>
  <c r="P73" i="14"/>
  <c r="Q73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O74" i="14" s="1"/>
  <c r="P74" i="14"/>
  <c r="Q74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 s="1"/>
  <c r="P75" i="14"/>
  <c r="Q75" i="14"/>
  <c r="C76" i="14"/>
  <c r="D76" i="14"/>
  <c r="E76" i="14"/>
  <c r="F76" i="14"/>
  <c r="G76" i="14"/>
  <c r="H76" i="14"/>
  <c r="I76" i="14"/>
  <c r="J76" i="14"/>
  <c r="K76" i="14"/>
  <c r="L76" i="14"/>
  <c r="M76" i="14"/>
  <c r="N76" i="14"/>
  <c r="O76" i="14" s="1"/>
  <c r="P76" i="14"/>
  <c r="Q76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O77" i="14" s="1"/>
  <c r="P77" i="14"/>
  <c r="Q77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O78" i="14" s="1"/>
  <c r="P78" i="14"/>
  <c r="Q78" i="14"/>
  <c r="C79" i="14"/>
  <c r="D79" i="14"/>
  <c r="E79" i="14"/>
  <c r="F79" i="14"/>
  <c r="G79" i="14"/>
  <c r="H79" i="14"/>
  <c r="I79" i="14"/>
  <c r="J79" i="14"/>
  <c r="K79" i="14"/>
  <c r="L79" i="14"/>
  <c r="M79" i="14"/>
  <c r="N79" i="14"/>
  <c r="O79" i="14" s="1"/>
  <c r="P79" i="14"/>
  <c r="Q79" i="14"/>
  <c r="Q68" i="14"/>
  <c r="P68" i="14"/>
  <c r="N68" i="14"/>
  <c r="O68" i="14" s="1"/>
  <c r="M68" i="14"/>
  <c r="L68" i="14"/>
  <c r="K68" i="14"/>
  <c r="J68" i="14"/>
  <c r="I68" i="14"/>
  <c r="H68" i="14"/>
  <c r="G68" i="14"/>
  <c r="F68" i="14"/>
  <c r="E68" i="14"/>
  <c r="D68" i="14"/>
  <c r="C68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 s="1"/>
  <c r="P9" i="14"/>
  <c r="Q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 s="1"/>
  <c r="P10" i="14"/>
  <c r="Q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 s="1"/>
  <c r="P11" i="14"/>
  <c r="Q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 s="1"/>
  <c r="P12" i="14"/>
  <c r="Q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 s="1"/>
  <c r="P13" i="14"/>
  <c r="Q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 s="1"/>
  <c r="P14" i="14"/>
  <c r="Q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 s="1"/>
  <c r="P15" i="14"/>
  <c r="Q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 s="1"/>
  <c r="P16" i="14"/>
  <c r="Q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 s="1"/>
  <c r="P17" i="14"/>
  <c r="Q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 s="1"/>
  <c r="P18" i="14"/>
  <c r="Q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 s="1"/>
  <c r="P19" i="14"/>
  <c r="Q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 s="1"/>
  <c r="P20" i="14"/>
  <c r="Q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 s="1"/>
  <c r="P21" i="14"/>
  <c r="Q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 s="1"/>
  <c r="P22" i="14"/>
  <c r="Q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 s="1"/>
  <c r="P23" i="14"/>
  <c r="Q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 s="1"/>
  <c r="P24" i="14"/>
  <c r="Q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 s="1"/>
  <c r="P25" i="14"/>
  <c r="Q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 s="1"/>
  <c r="P26" i="14"/>
  <c r="Q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 s="1"/>
  <c r="P27" i="14"/>
  <c r="Q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 s="1"/>
  <c r="P28" i="14"/>
  <c r="Q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 s="1"/>
  <c r="P29" i="14"/>
  <c r="Q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 s="1"/>
  <c r="P30" i="14"/>
  <c r="Q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 s="1"/>
  <c r="P31" i="14"/>
  <c r="Q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 s="1"/>
  <c r="P32" i="14"/>
  <c r="Q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 s="1"/>
  <c r="P33" i="14"/>
  <c r="Q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 s="1"/>
  <c r="P34" i="14"/>
  <c r="Q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 s="1"/>
  <c r="P35" i="14"/>
  <c r="Q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 s="1"/>
  <c r="P36" i="14"/>
  <c r="Q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 s="1"/>
  <c r="P37" i="14"/>
  <c r="Q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 s="1"/>
  <c r="P38" i="14"/>
  <c r="Q38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 s="1"/>
  <c r="P39" i="14"/>
  <c r="Q3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 s="1"/>
  <c r="P40" i="14"/>
  <c r="Q40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 s="1"/>
  <c r="P41" i="14"/>
  <c r="Q41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 s="1"/>
  <c r="P42" i="14"/>
  <c r="Q42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 s="1"/>
  <c r="P43" i="14"/>
  <c r="Q43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 s="1"/>
  <c r="P44" i="14"/>
  <c r="Q44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 s="1"/>
  <c r="P45" i="14"/>
  <c r="Q45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 s="1"/>
  <c r="P46" i="14"/>
  <c r="Q46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 s="1"/>
  <c r="P47" i="14"/>
  <c r="Q47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 s="1"/>
  <c r="P48" i="14"/>
  <c r="Q48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 s="1"/>
  <c r="P49" i="14"/>
  <c r="Q49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 s="1"/>
  <c r="P50" i="14"/>
  <c r="Q50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O51" i="14" s="1"/>
  <c r="P51" i="14"/>
  <c r="Q51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O52" i="14" s="1"/>
  <c r="P52" i="14"/>
  <c r="Q52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O53" i="14" s="1"/>
  <c r="P53" i="14"/>
  <c r="Q53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O54" i="14" s="1"/>
  <c r="P54" i="14"/>
  <c r="Q54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O55" i="14" s="1"/>
  <c r="P55" i="14"/>
  <c r="Q55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 s="1"/>
  <c r="P56" i="14"/>
  <c r="Q56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 s="1"/>
  <c r="P57" i="14"/>
  <c r="Q57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O58" i="14" s="1"/>
  <c r="P58" i="14"/>
  <c r="Q58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 s="1"/>
  <c r="P59" i="14"/>
  <c r="Q59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 s="1"/>
  <c r="P60" i="14"/>
  <c r="Q60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 s="1"/>
  <c r="P61" i="14"/>
  <c r="Q61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O62" i="14" s="1"/>
  <c r="P62" i="14"/>
  <c r="Q62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 s="1"/>
  <c r="P63" i="14"/>
  <c r="Q63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 s="1"/>
  <c r="P64" i="14"/>
  <c r="Q64" i="14"/>
  <c r="C65" i="14"/>
  <c r="D65" i="14"/>
  <c r="E65" i="14"/>
  <c r="F65" i="14"/>
  <c r="G65" i="14"/>
  <c r="H65" i="14"/>
  <c r="I65" i="14"/>
  <c r="J65" i="14"/>
  <c r="K65" i="14"/>
  <c r="L65" i="14"/>
  <c r="M65" i="14"/>
  <c r="N65" i="14"/>
  <c r="O65" i="14" s="1"/>
  <c r="P65" i="14"/>
  <c r="Q65" i="14"/>
  <c r="Q8" i="14"/>
  <c r="P8" i="14"/>
  <c r="N8" i="14"/>
  <c r="O8" i="14" s="1"/>
  <c r="M8" i="14"/>
  <c r="L8" i="14"/>
  <c r="K8" i="14"/>
  <c r="J8" i="14"/>
  <c r="I8" i="14"/>
  <c r="H8" i="14"/>
  <c r="G8" i="14"/>
  <c r="F8" i="14"/>
  <c r="E8" i="14"/>
  <c r="D8" i="14"/>
  <c r="C8" i="14"/>
  <c r="C83" i="13"/>
  <c r="D83" i="13"/>
  <c r="E83" i="13"/>
  <c r="F83" i="13" s="1"/>
  <c r="G83" i="13"/>
  <c r="H83" i="13" s="1"/>
  <c r="I83" i="13"/>
  <c r="J83" i="13" s="1"/>
  <c r="K83" i="13"/>
  <c r="L83" i="13"/>
  <c r="M83" i="13"/>
  <c r="N83" i="13"/>
  <c r="C84" i="13"/>
  <c r="D84" i="13"/>
  <c r="E84" i="13"/>
  <c r="F84" i="13" s="1"/>
  <c r="G84" i="13"/>
  <c r="H84" i="13" s="1"/>
  <c r="I84" i="13"/>
  <c r="J84" i="13" s="1"/>
  <c r="K84" i="13"/>
  <c r="L84" i="13"/>
  <c r="M84" i="13"/>
  <c r="N84" i="13"/>
  <c r="C85" i="13"/>
  <c r="D85" i="13"/>
  <c r="E85" i="13"/>
  <c r="F85" i="13" s="1"/>
  <c r="G85" i="13"/>
  <c r="H85" i="13" s="1"/>
  <c r="I85" i="13"/>
  <c r="J85" i="13" s="1"/>
  <c r="K85" i="13"/>
  <c r="L85" i="13"/>
  <c r="M85" i="13"/>
  <c r="N85" i="13"/>
  <c r="C86" i="13"/>
  <c r="D86" i="13"/>
  <c r="E86" i="13"/>
  <c r="F86" i="13" s="1"/>
  <c r="G86" i="13"/>
  <c r="H86" i="13" s="1"/>
  <c r="I86" i="13"/>
  <c r="J86" i="13" s="1"/>
  <c r="K86" i="13"/>
  <c r="L86" i="13"/>
  <c r="M86" i="13"/>
  <c r="N86" i="13"/>
  <c r="C87" i="13"/>
  <c r="D87" i="13"/>
  <c r="E87" i="13"/>
  <c r="F87" i="13" s="1"/>
  <c r="G87" i="13"/>
  <c r="H87" i="13" s="1"/>
  <c r="I87" i="13"/>
  <c r="J87" i="13" s="1"/>
  <c r="K87" i="13"/>
  <c r="L87" i="13"/>
  <c r="M87" i="13"/>
  <c r="N87" i="13"/>
  <c r="C88" i="13"/>
  <c r="D88" i="13"/>
  <c r="E88" i="13"/>
  <c r="F88" i="13" s="1"/>
  <c r="G88" i="13"/>
  <c r="H88" i="13" s="1"/>
  <c r="I88" i="13"/>
  <c r="J88" i="13" s="1"/>
  <c r="K88" i="13"/>
  <c r="L88" i="13"/>
  <c r="M88" i="13"/>
  <c r="N88" i="13"/>
  <c r="C89" i="13"/>
  <c r="D89" i="13"/>
  <c r="E89" i="13"/>
  <c r="F89" i="13" s="1"/>
  <c r="G89" i="13"/>
  <c r="H89" i="13" s="1"/>
  <c r="I89" i="13"/>
  <c r="J89" i="13" s="1"/>
  <c r="K89" i="13"/>
  <c r="L89" i="13"/>
  <c r="M89" i="13"/>
  <c r="N89" i="13"/>
  <c r="C90" i="13"/>
  <c r="D90" i="13"/>
  <c r="E90" i="13"/>
  <c r="F90" i="13" s="1"/>
  <c r="G90" i="13"/>
  <c r="H90" i="13" s="1"/>
  <c r="I90" i="13"/>
  <c r="J90" i="13" s="1"/>
  <c r="K90" i="13"/>
  <c r="L90" i="13"/>
  <c r="M90" i="13"/>
  <c r="N90" i="13"/>
  <c r="C91" i="13"/>
  <c r="D91" i="13"/>
  <c r="E91" i="13"/>
  <c r="F91" i="13" s="1"/>
  <c r="G91" i="13"/>
  <c r="H91" i="13" s="1"/>
  <c r="I91" i="13"/>
  <c r="J91" i="13" s="1"/>
  <c r="K91" i="13"/>
  <c r="L91" i="13"/>
  <c r="M91" i="13"/>
  <c r="N91" i="13"/>
  <c r="C92" i="13"/>
  <c r="D92" i="13"/>
  <c r="E92" i="13"/>
  <c r="F92" i="13" s="1"/>
  <c r="G92" i="13"/>
  <c r="H92" i="13" s="1"/>
  <c r="I92" i="13"/>
  <c r="J92" i="13" s="1"/>
  <c r="K92" i="13"/>
  <c r="L92" i="13"/>
  <c r="M92" i="13"/>
  <c r="N92" i="13"/>
  <c r="N82" i="13"/>
  <c r="M82" i="13"/>
  <c r="L82" i="13"/>
  <c r="K82" i="13"/>
  <c r="I82" i="13"/>
  <c r="J82" i="13" s="1"/>
  <c r="G82" i="13"/>
  <c r="H82" i="13" s="1"/>
  <c r="E82" i="13"/>
  <c r="F82" i="13" s="1"/>
  <c r="D82" i="13"/>
  <c r="C82" i="13"/>
  <c r="C69" i="13"/>
  <c r="D69" i="13"/>
  <c r="E69" i="13"/>
  <c r="F69" i="13" s="1"/>
  <c r="G69" i="13"/>
  <c r="H69" i="13" s="1"/>
  <c r="I69" i="13"/>
  <c r="J69" i="13" s="1"/>
  <c r="K69" i="13"/>
  <c r="L69" i="13"/>
  <c r="M69" i="13"/>
  <c r="N69" i="13"/>
  <c r="C70" i="13"/>
  <c r="D70" i="13"/>
  <c r="E70" i="13"/>
  <c r="F70" i="13" s="1"/>
  <c r="G70" i="13"/>
  <c r="H70" i="13" s="1"/>
  <c r="I70" i="13"/>
  <c r="J70" i="13" s="1"/>
  <c r="K70" i="13"/>
  <c r="L70" i="13"/>
  <c r="M70" i="13"/>
  <c r="N70" i="13"/>
  <c r="C71" i="13"/>
  <c r="D71" i="13"/>
  <c r="E71" i="13"/>
  <c r="F71" i="13" s="1"/>
  <c r="G71" i="13"/>
  <c r="H71" i="13" s="1"/>
  <c r="I71" i="13"/>
  <c r="J71" i="13" s="1"/>
  <c r="K71" i="13"/>
  <c r="L71" i="13"/>
  <c r="M71" i="13"/>
  <c r="N71" i="13"/>
  <c r="C72" i="13"/>
  <c r="D72" i="13"/>
  <c r="E72" i="13"/>
  <c r="F72" i="13" s="1"/>
  <c r="G72" i="13"/>
  <c r="H72" i="13" s="1"/>
  <c r="I72" i="13"/>
  <c r="J72" i="13" s="1"/>
  <c r="K72" i="13"/>
  <c r="L72" i="13"/>
  <c r="M72" i="13"/>
  <c r="N72" i="13"/>
  <c r="C73" i="13"/>
  <c r="D73" i="13"/>
  <c r="E73" i="13"/>
  <c r="F73" i="13" s="1"/>
  <c r="G73" i="13"/>
  <c r="H73" i="13" s="1"/>
  <c r="I73" i="13"/>
  <c r="J73" i="13" s="1"/>
  <c r="K73" i="13"/>
  <c r="L73" i="13"/>
  <c r="M73" i="13"/>
  <c r="N73" i="13"/>
  <c r="C74" i="13"/>
  <c r="D74" i="13"/>
  <c r="E74" i="13"/>
  <c r="F74" i="13" s="1"/>
  <c r="G74" i="13"/>
  <c r="H74" i="13" s="1"/>
  <c r="I74" i="13"/>
  <c r="J74" i="13" s="1"/>
  <c r="K74" i="13"/>
  <c r="L74" i="13"/>
  <c r="M74" i="13"/>
  <c r="N74" i="13"/>
  <c r="C75" i="13"/>
  <c r="D75" i="13"/>
  <c r="E75" i="13"/>
  <c r="F75" i="13" s="1"/>
  <c r="G75" i="13"/>
  <c r="H75" i="13" s="1"/>
  <c r="I75" i="13"/>
  <c r="J75" i="13" s="1"/>
  <c r="K75" i="13"/>
  <c r="L75" i="13"/>
  <c r="M75" i="13"/>
  <c r="N75" i="13"/>
  <c r="C76" i="13"/>
  <c r="D76" i="13"/>
  <c r="E76" i="13"/>
  <c r="F76" i="13" s="1"/>
  <c r="G76" i="13"/>
  <c r="H76" i="13" s="1"/>
  <c r="I76" i="13"/>
  <c r="J76" i="13" s="1"/>
  <c r="K76" i="13"/>
  <c r="L76" i="13"/>
  <c r="M76" i="13"/>
  <c r="N76" i="13"/>
  <c r="C77" i="13"/>
  <c r="D77" i="13"/>
  <c r="E77" i="13"/>
  <c r="F77" i="13" s="1"/>
  <c r="G77" i="13"/>
  <c r="H77" i="13" s="1"/>
  <c r="I77" i="13"/>
  <c r="J77" i="13" s="1"/>
  <c r="K77" i="13"/>
  <c r="L77" i="13"/>
  <c r="M77" i="13"/>
  <c r="N77" i="13"/>
  <c r="C78" i="13"/>
  <c r="D78" i="13"/>
  <c r="E78" i="13"/>
  <c r="F78" i="13" s="1"/>
  <c r="G78" i="13"/>
  <c r="H78" i="13" s="1"/>
  <c r="I78" i="13"/>
  <c r="J78" i="13" s="1"/>
  <c r="K78" i="13"/>
  <c r="L78" i="13"/>
  <c r="M78" i="13"/>
  <c r="N78" i="13"/>
  <c r="C79" i="13"/>
  <c r="D79" i="13"/>
  <c r="E79" i="13"/>
  <c r="F79" i="13" s="1"/>
  <c r="G79" i="13"/>
  <c r="H79" i="13" s="1"/>
  <c r="I79" i="13"/>
  <c r="J79" i="13" s="1"/>
  <c r="K79" i="13"/>
  <c r="L79" i="13"/>
  <c r="M79" i="13"/>
  <c r="N79" i="13"/>
  <c r="N68" i="13"/>
  <c r="M68" i="13"/>
  <c r="L68" i="13"/>
  <c r="K68" i="13"/>
  <c r="I68" i="13"/>
  <c r="J68" i="13" s="1"/>
  <c r="G68" i="13"/>
  <c r="H68" i="13" s="1"/>
  <c r="E68" i="13"/>
  <c r="F68" i="13" s="1"/>
  <c r="D68" i="13"/>
  <c r="C68" i="13"/>
  <c r="C9" i="13"/>
  <c r="D9" i="13"/>
  <c r="E9" i="13"/>
  <c r="F9" i="13" s="1"/>
  <c r="G9" i="13"/>
  <c r="H9" i="13" s="1"/>
  <c r="I9" i="13"/>
  <c r="J9" i="13" s="1"/>
  <c r="K9" i="13"/>
  <c r="L9" i="13"/>
  <c r="M9" i="13"/>
  <c r="N9" i="13"/>
  <c r="C10" i="13"/>
  <c r="D10" i="13"/>
  <c r="E10" i="13"/>
  <c r="F10" i="13" s="1"/>
  <c r="G10" i="13"/>
  <c r="H10" i="13" s="1"/>
  <c r="I10" i="13"/>
  <c r="J10" i="13" s="1"/>
  <c r="K10" i="13"/>
  <c r="L10" i="13"/>
  <c r="M10" i="13"/>
  <c r="N10" i="13"/>
  <c r="C11" i="13"/>
  <c r="D11" i="13"/>
  <c r="E11" i="13"/>
  <c r="F11" i="13" s="1"/>
  <c r="G11" i="13"/>
  <c r="H11" i="13" s="1"/>
  <c r="I11" i="13"/>
  <c r="J11" i="13" s="1"/>
  <c r="K11" i="13"/>
  <c r="L11" i="13"/>
  <c r="M11" i="13"/>
  <c r="N11" i="13"/>
  <c r="C12" i="13"/>
  <c r="D12" i="13"/>
  <c r="E12" i="13"/>
  <c r="F12" i="13" s="1"/>
  <c r="G12" i="13"/>
  <c r="H12" i="13" s="1"/>
  <c r="I12" i="13"/>
  <c r="J12" i="13" s="1"/>
  <c r="K12" i="13"/>
  <c r="L12" i="13"/>
  <c r="M12" i="13"/>
  <c r="N12" i="13"/>
  <c r="C13" i="13"/>
  <c r="D13" i="13"/>
  <c r="E13" i="13"/>
  <c r="F13" i="13" s="1"/>
  <c r="G13" i="13"/>
  <c r="H13" i="13" s="1"/>
  <c r="I13" i="13"/>
  <c r="J13" i="13" s="1"/>
  <c r="K13" i="13"/>
  <c r="L13" i="13"/>
  <c r="M13" i="13"/>
  <c r="N13" i="13"/>
  <c r="C14" i="13"/>
  <c r="D14" i="13"/>
  <c r="E14" i="13"/>
  <c r="F14" i="13" s="1"/>
  <c r="G14" i="13"/>
  <c r="H14" i="13" s="1"/>
  <c r="I14" i="13"/>
  <c r="J14" i="13" s="1"/>
  <c r="K14" i="13"/>
  <c r="L14" i="13"/>
  <c r="M14" i="13"/>
  <c r="N14" i="13"/>
  <c r="C15" i="13"/>
  <c r="D15" i="13"/>
  <c r="E15" i="13"/>
  <c r="F15" i="13" s="1"/>
  <c r="G15" i="13"/>
  <c r="H15" i="13" s="1"/>
  <c r="I15" i="13"/>
  <c r="J15" i="13" s="1"/>
  <c r="K15" i="13"/>
  <c r="L15" i="13"/>
  <c r="M15" i="13"/>
  <c r="N15" i="13"/>
  <c r="C16" i="13"/>
  <c r="D16" i="13"/>
  <c r="E16" i="13"/>
  <c r="F16" i="13" s="1"/>
  <c r="G16" i="13"/>
  <c r="H16" i="13" s="1"/>
  <c r="I16" i="13"/>
  <c r="J16" i="13" s="1"/>
  <c r="K16" i="13"/>
  <c r="L16" i="13"/>
  <c r="M16" i="13"/>
  <c r="N16" i="13"/>
  <c r="C17" i="13"/>
  <c r="D17" i="13"/>
  <c r="E17" i="13"/>
  <c r="F17" i="13" s="1"/>
  <c r="G17" i="13"/>
  <c r="H17" i="13" s="1"/>
  <c r="I17" i="13"/>
  <c r="J17" i="13" s="1"/>
  <c r="K17" i="13"/>
  <c r="L17" i="13"/>
  <c r="M17" i="13"/>
  <c r="N17" i="13"/>
  <c r="C18" i="13"/>
  <c r="D18" i="13"/>
  <c r="E18" i="13"/>
  <c r="F18" i="13" s="1"/>
  <c r="G18" i="13"/>
  <c r="H18" i="13" s="1"/>
  <c r="I18" i="13"/>
  <c r="J18" i="13" s="1"/>
  <c r="K18" i="13"/>
  <c r="L18" i="13"/>
  <c r="M18" i="13"/>
  <c r="N18" i="13"/>
  <c r="C19" i="13"/>
  <c r="D19" i="13"/>
  <c r="E19" i="13"/>
  <c r="F19" i="13" s="1"/>
  <c r="G19" i="13"/>
  <c r="H19" i="13" s="1"/>
  <c r="I19" i="13"/>
  <c r="J19" i="13" s="1"/>
  <c r="K19" i="13"/>
  <c r="L19" i="13"/>
  <c r="M19" i="13"/>
  <c r="N19" i="13"/>
  <c r="C20" i="13"/>
  <c r="D20" i="13"/>
  <c r="E20" i="13"/>
  <c r="F20" i="13" s="1"/>
  <c r="G20" i="13"/>
  <c r="H20" i="13" s="1"/>
  <c r="I20" i="13"/>
  <c r="J20" i="13" s="1"/>
  <c r="K20" i="13"/>
  <c r="L20" i="13"/>
  <c r="M20" i="13"/>
  <c r="N20" i="13"/>
  <c r="C21" i="13"/>
  <c r="D21" i="13"/>
  <c r="E21" i="13"/>
  <c r="F21" i="13" s="1"/>
  <c r="G21" i="13"/>
  <c r="H21" i="13" s="1"/>
  <c r="I21" i="13"/>
  <c r="J21" i="13" s="1"/>
  <c r="K21" i="13"/>
  <c r="L21" i="13"/>
  <c r="M21" i="13"/>
  <c r="N21" i="13"/>
  <c r="C22" i="13"/>
  <c r="D22" i="13"/>
  <c r="E22" i="13"/>
  <c r="F22" i="13" s="1"/>
  <c r="G22" i="13"/>
  <c r="H22" i="13" s="1"/>
  <c r="I22" i="13"/>
  <c r="J22" i="13" s="1"/>
  <c r="K22" i="13"/>
  <c r="L22" i="13"/>
  <c r="M22" i="13"/>
  <c r="N22" i="13"/>
  <c r="C23" i="13"/>
  <c r="D23" i="13"/>
  <c r="E23" i="13"/>
  <c r="F23" i="13" s="1"/>
  <c r="G23" i="13"/>
  <c r="H23" i="13" s="1"/>
  <c r="I23" i="13"/>
  <c r="J23" i="13" s="1"/>
  <c r="K23" i="13"/>
  <c r="L23" i="13"/>
  <c r="M23" i="13"/>
  <c r="N23" i="13"/>
  <c r="C24" i="13"/>
  <c r="D24" i="13"/>
  <c r="E24" i="13"/>
  <c r="F24" i="13" s="1"/>
  <c r="G24" i="13"/>
  <c r="H24" i="13" s="1"/>
  <c r="I24" i="13"/>
  <c r="J24" i="13" s="1"/>
  <c r="K24" i="13"/>
  <c r="L24" i="13"/>
  <c r="M24" i="13"/>
  <c r="N24" i="13"/>
  <c r="C25" i="13"/>
  <c r="D25" i="13"/>
  <c r="E25" i="13"/>
  <c r="F25" i="13" s="1"/>
  <c r="G25" i="13"/>
  <c r="H25" i="13" s="1"/>
  <c r="I25" i="13"/>
  <c r="J25" i="13" s="1"/>
  <c r="K25" i="13"/>
  <c r="L25" i="13"/>
  <c r="M25" i="13"/>
  <c r="N25" i="13"/>
  <c r="C26" i="13"/>
  <c r="D26" i="13"/>
  <c r="E26" i="13"/>
  <c r="F26" i="13" s="1"/>
  <c r="G26" i="13"/>
  <c r="H26" i="13" s="1"/>
  <c r="I26" i="13"/>
  <c r="J26" i="13" s="1"/>
  <c r="K26" i="13"/>
  <c r="L26" i="13"/>
  <c r="M26" i="13"/>
  <c r="N26" i="13"/>
  <c r="C27" i="13"/>
  <c r="D27" i="13"/>
  <c r="E27" i="13"/>
  <c r="F27" i="13" s="1"/>
  <c r="G27" i="13"/>
  <c r="H27" i="13" s="1"/>
  <c r="I27" i="13"/>
  <c r="J27" i="13" s="1"/>
  <c r="K27" i="13"/>
  <c r="L27" i="13"/>
  <c r="M27" i="13"/>
  <c r="N27" i="13"/>
  <c r="C28" i="13"/>
  <c r="D28" i="13"/>
  <c r="E28" i="13"/>
  <c r="F28" i="13" s="1"/>
  <c r="G28" i="13"/>
  <c r="H28" i="13" s="1"/>
  <c r="I28" i="13"/>
  <c r="J28" i="13" s="1"/>
  <c r="K28" i="13"/>
  <c r="L28" i="13"/>
  <c r="M28" i="13"/>
  <c r="N28" i="13"/>
  <c r="C29" i="13"/>
  <c r="D29" i="13"/>
  <c r="E29" i="13"/>
  <c r="F29" i="13" s="1"/>
  <c r="G29" i="13"/>
  <c r="H29" i="13" s="1"/>
  <c r="I29" i="13"/>
  <c r="J29" i="13" s="1"/>
  <c r="K29" i="13"/>
  <c r="L29" i="13"/>
  <c r="M29" i="13"/>
  <c r="N29" i="13"/>
  <c r="C30" i="13"/>
  <c r="D30" i="13"/>
  <c r="E30" i="13"/>
  <c r="F30" i="13" s="1"/>
  <c r="G30" i="13"/>
  <c r="H30" i="13" s="1"/>
  <c r="I30" i="13"/>
  <c r="J30" i="13" s="1"/>
  <c r="K30" i="13"/>
  <c r="L30" i="13"/>
  <c r="M30" i="13"/>
  <c r="N30" i="13"/>
  <c r="C31" i="13"/>
  <c r="D31" i="13"/>
  <c r="E31" i="13"/>
  <c r="F31" i="13" s="1"/>
  <c r="G31" i="13"/>
  <c r="H31" i="13" s="1"/>
  <c r="I31" i="13"/>
  <c r="J31" i="13" s="1"/>
  <c r="K31" i="13"/>
  <c r="L31" i="13"/>
  <c r="M31" i="13"/>
  <c r="N31" i="13"/>
  <c r="C32" i="13"/>
  <c r="D32" i="13"/>
  <c r="E32" i="13"/>
  <c r="F32" i="13" s="1"/>
  <c r="G32" i="13"/>
  <c r="H32" i="13" s="1"/>
  <c r="I32" i="13"/>
  <c r="J32" i="13" s="1"/>
  <c r="K32" i="13"/>
  <c r="L32" i="13"/>
  <c r="M32" i="13"/>
  <c r="N32" i="13"/>
  <c r="C33" i="13"/>
  <c r="D33" i="13"/>
  <c r="E33" i="13"/>
  <c r="F33" i="13" s="1"/>
  <c r="G33" i="13"/>
  <c r="H33" i="13" s="1"/>
  <c r="I33" i="13"/>
  <c r="J33" i="13" s="1"/>
  <c r="K33" i="13"/>
  <c r="L33" i="13"/>
  <c r="M33" i="13"/>
  <c r="N33" i="13"/>
  <c r="C34" i="13"/>
  <c r="D34" i="13"/>
  <c r="E34" i="13"/>
  <c r="F34" i="13" s="1"/>
  <c r="G34" i="13"/>
  <c r="H34" i="13" s="1"/>
  <c r="I34" i="13"/>
  <c r="J34" i="13" s="1"/>
  <c r="K34" i="13"/>
  <c r="L34" i="13"/>
  <c r="M34" i="13"/>
  <c r="N34" i="13"/>
  <c r="C35" i="13"/>
  <c r="D35" i="13"/>
  <c r="E35" i="13"/>
  <c r="F35" i="13" s="1"/>
  <c r="G35" i="13"/>
  <c r="H35" i="13" s="1"/>
  <c r="I35" i="13"/>
  <c r="J35" i="13" s="1"/>
  <c r="K35" i="13"/>
  <c r="L35" i="13"/>
  <c r="M35" i="13"/>
  <c r="N35" i="13"/>
  <c r="C36" i="13"/>
  <c r="D36" i="13"/>
  <c r="E36" i="13"/>
  <c r="F36" i="13" s="1"/>
  <c r="G36" i="13"/>
  <c r="H36" i="13" s="1"/>
  <c r="I36" i="13"/>
  <c r="J36" i="13" s="1"/>
  <c r="K36" i="13"/>
  <c r="L36" i="13"/>
  <c r="M36" i="13"/>
  <c r="N36" i="13"/>
  <c r="C37" i="13"/>
  <c r="D37" i="13"/>
  <c r="E37" i="13"/>
  <c r="F37" i="13" s="1"/>
  <c r="G37" i="13"/>
  <c r="H37" i="13" s="1"/>
  <c r="I37" i="13"/>
  <c r="J37" i="13" s="1"/>
  <c r="K37" i="13"/>
  <c r="L37" i="13"/>
  <c r="M37" i="13"/>
  <c r="N37" i="13"/>
  <c r="C38" i="13"/>
  <c r="D38" i="13"/>
  <c r="E38" i="13"/>
  <c r="F38" i="13" s="1"/>
  <c r="G38" i="13"/>
  <c r="H38" i="13" s="1"/>
  <c r="I38" i="13"/>
  <c r="J38" i="13" s="1"/>
  <c r="K38" i="13"/>
  <c r="L38" i="13"/>
  <c r="M38" i="13"/>
  <c r="N38" i="13"/>
  <c r="C39" i="13"/>
  <c r="D39" i="13"/>
  <c r="E39" i="13"/>
  <c r="F39" i="13" s="1"/>
  <c r="G39" i="13"/>
  <c r="H39" i="13" s="1"/>
  <c r="I39" i="13"/>
  <c r="J39" i="13" s="1"/>
  <c r="K39" i="13"/>
  <c r="L39" i="13"/>
  <c r="M39" i="13"/>
  <c r="N39" i="13"/>
  <c r="C40" i="13"/>
  <c r="D40" i="13"/>
  <c r="E40" i="13"/>
  <c r="F40" i="13" s="1"/>
  <c r="G40" i="13"/>
  <c r="H40" i="13" s="1"/>
  <c r="I40" i="13"/>
  <c r="J40" i="13" s="1"/>
  <c r="K40" i="13"/>
  <c r="L40" i="13"/>
  <c r="M40" i="13"/>
  <c r="N40" i="13"/>
  <c r="C41" i="13"/>
  <c r="D41" i="13"/>
  <c r="E41" i="13"/>
  <c r="F41" i="13" s="1"/>
  <c r="G41" i="13"/>
  <c r="H41" i="13" s="1"/>
  <c r="I41" i="13"/>
  <c r="J41" i="13" s="1"/>
  <c r="K41" i="13"/>
  <c r="L41" i="13"/>
  <c r="M41" i="13"/>
  <c r="N41" i="13"/>
  <c r="C42" i="13"/>
  <c r="D42" i="13"/>
  <c r="E42" i="13"/>
  <c r="F42" i="13" s="1"/>
  <c r="G42" i="13"/>
  <c r="H42" i="13" s="1"/>
  <c r="I42" i="13"/>
  <c r="J42" i="13" s="1"/>
  <c r="K42" i="13"/>
  <c r="L42" i="13"/>
  <c r="M42" i="13"/>
  <c r="N42" i="13"/>
  <c r="C43" i="13"/>
  <c r="D43" i="13"/>
  <c r="E43" i="13"/>
  <c r="F43" i="13" s="1"/>
  <c r="G43" i="13"/>
  <c r="H43" i="13" s="1"/>
  <c r="I43" i="13"/>
  <c r="J43" i="13" s="1"/>
  <c r="K43" i="13"/>
  <c r="L43" i="13"/>
  <c r="M43" i="13"/>
  <c r="N43" i="13"/>
  <c r="C44" i="13"/>
  <c r="D44" i="13"/>
  <c r="E44" i="13"/>
  <c r="F44" i="13" s="1"/>
  <c r="G44" i="13"/>
  <c r="H44" i="13" s="1"/>
  <c r="I44" i="13"/>
  <c r="J44" i="13" s="1"/>
  <c r="K44" i="13"/>
  <c r="L44" i="13"/>
  <c r="M44" i="13"/>
  <c r="N44" i="13"/>
  <c r="C45" i="13"/>
  <c r="D45" i="13"/>
  <c r="E45" i="13"/>
  <c r="F45" i="13" s="1"/>
  <c r="G45" i="13"/>
  <c r="H45" i="13" s="1"/>
  <c r="I45" i="13"/>
  <c r="J45" i="13" s="1"/>
  <c r="K45" i="13"/>
  <c r="L45" i="13"/>
  <c r="M45" i="13"/>
  <c r="N45" i="13"/>
  <c r="C46" i="13"/>
  <c r="D46" i="13"/>
  <c r="E46" i="13"/>
  <c r="F46" i="13" s="1"/>
  <c r="G46" i="13"/>
  <c r="H46" i="13" s="1"/>
  <c r="I46" i="13"/>
  <c r="J46" i="13" s="1"/>
  <c r="K46" i="13"/>
  <c r="L46" i="13"/>
  <c r="M46" i="13"/>
  <c r="N46" i="13"/>
  <c r="C47" i="13"/>
  <c r="D47" i="13"/>
  <c r="E47" i="13"/>
  <c r="F47" i="13" s="1"/>
  <c r="G47" i="13"/>
  <c r="H47" i="13" s="1"/>
  <c r="I47" i="13"/>
  <c r="J47" i="13" s="1"/>
  <c r="K47" i="13"/>
  <c r="L47" i="13"/>
  <c r="M47" i="13"/>
  <c r="N47" i="13"/>
  <c r="C48" i="13"/>
  <c r="D48" i="13"/>
  <c r="E48" i="13"/>
  <c r="F48" i="13" s="1"/>
  <c r="G48" i="13"/>
  <c r="H48" i="13" s="1"/>
  <c r="I48" i="13"/>
  <c r="J48" i="13" s="1"/>
  <c r="K48" i="13"/>
  <c r="L48" i="13"/>
  <c r="M48" i="13"/>
  <c r="N48" i="13"/>
  <c r="C49" i="13"/>
  <c r="D49" i="13"/>
  <c r="E49" i="13"/>
  <c r="F49" i="13" s="1"/>
  <c r="G49" i="13"/>
  <c r="H49" i="13" s="1"/>
  <c r="I49" i="13"/>
  <c r="J49" i="13" s="1"/>
  <c r="K49" i="13"/>
  <c r="L49" i="13"/>
  <c r="M49" i="13"/>
  <c r="N49" i="13"/>
  <c r="C50" i="13"/>
  <c r="D50" i="13"/>
  <c r="E50" i="13"/>
  <c r="F50" i="13" s="1"/>
  <c r="G50" i="13"/>
  <c r="H50" i="13" s="1"/>
  <c r="I50" i="13"/>
  <c r="J50" i="13" s="1"/>
  <c r="K50" i="13"/>
  <c r="L50" i="13"/>
  <c r="M50" i="13"/>
  <c r="N50" i="13"/>
  <c r="C51" i="13"/>
  <c r="D51" i="13"/>
  <c r="E51" i="13"/>
  <c r="F51" i="13" s="1"/>
  <c r="G51" i="13"/>
  <c r="H51" i="13" s="1"/>
  <c r="I51" i="13"/>
  <c r="J51" i="13" s="1"/>
  <c r="K51" i="13"/>
  <c r="L51" i="13"/>
  <c r="M51" i="13"/>
  <c r="N51" i="13"/>
  <c r="C52" i="13"/>
  <c r="D52" i="13"/>
  <c r="E52" i="13"/>
  <c r="F52" i="13" s="1"/>
  <c r="G52" i="13"/>
  <c r="H52" i="13" s="1"/>
  <c r="I52" i="13"/>
  <c r="J52" i="13" s="1"/>
  <c r="K52" i="13"/>
  <c r="L52" i="13"/>
  <c r="M52" i="13"/>
  <c r="N52" i="13"/>
  <c r="C53" i="13"/>
  <c r="D53" i="13"/>
  <c r="E53" i="13"/>
  <c r="F53" i="13" s="1"/>
  <c r="G53" i="13"/>
  <c r="H53" i="13" s="1"/>
  <c r="I53" i="13"/>
  <c r="J53" i="13" s="1"/>
  <c r="K53" i="13"/>
  <c r="L53" i="13"/>
  <c r="M53" i="13"/>
  <c r="N53" i="13"/>
  <c r="C54" i="13"/>
  <c r="D54" i="13"/>
  <c r="E54" i="13"/>
  <c r="F54" i="13" s="1"/>
  <c r="G54" i="13"/>
  <c r="H54" i="13" s="1"/>
  <c r="I54" i="13"/>
  <c r="J54" i="13" s="1"/>
  <c r="K54" i="13"/>
  <c r="L54" i="13"/>
  <c r="M54" i="13"/>
  <c r="N54" i="13"/>
  <c r="C55" i="13"/>
  <c r="D55" i="13"/>
  <c r="E55" i="13"/>
  <c r="F55" i="13" s="1"/>
  <c r="G55" i="13"/>
  <c r="H55" i="13" s="1"/>
  <c r="I55" i="13"/>
  <c r="J55" i="13" s="1"/>
  <c r="K55" i="13"/>
  <c r="L55" i="13"/>
  <c r="M55" i="13"/>
  <c r="N55" i="13"/>
  <c r="C56" i="13"/>
  <c r="D56" i="13"/>
  <c r="E56" i="13"/>
  <c r="F56" i="13" s="1"/>
  <c r="G56" i="13"/>
  <c r="H56" i="13" s="1"/>
  <c r="I56" i="13"/>
  <c r="J56" i="13" s="1"/>
  <c r="K56" i="13"/>
  <c r="L56" i="13"/>
  <c r="M56" i="13"/>
  <c r="N56" i="13"/>
  <c r="C57" i="13"/>
  <c r="D57" i="13"/>
  <c r="E57" i="13"/>
  <c r="F57" i="13" s="1"/>
  <c r="G57" i="13"/>
  <c r="H57" i="13" s="1"/>
  <c r="I57" i="13"/>
  <c r="J57" i="13" s="1"/>
  <c r="K57" i="13"/>
  <c r="L57" i="13"/>
  <c r="M57" i="13"/>
  <c r="N57" i="13"/>
  <c r="C58" i="13"/>
  <c r="D58" i="13"/>
  <c r="E58" i="13"/>
  <c r="F58" i="13" s="1"/>
  <c r="G58" i="13"/>
  <c r="H58" i="13" s="1"/>
  <c r="I58" i="13"/>
  <c r="J58" i="13" s="1"/>
  <c r="K58" i="13"/>
  <c r="L58" i="13"/>
  <c r="M58" i="13"/>
  <c r="N58" i="13"/>
  <c r="C59" i="13"/>
  <c r="D59" i="13"/>
  <c r="E59" i="13"/>
  <c r="F59" i="13" s="1"/>
  <c r="G59" i="13"/>
  <c r="H59" i="13" s="1"/>
  <c r="I59" i="13"/>
  <c r="J59" i="13" s="1"/>
  <c r="K59" i="13"/>
  <c r="L59" i="13"/>
  <c r="M59" i="13"/>
  <c r="N59" i="13"/>
  <c r="C60" i="13"/>
  <c r="D60" i="13"/>
  <c r="E60" i="13"/>
  <c r="F60" i="13" s="1"/>
  <c r="G60" i="13"/>
  <c r="H60" i="13" s="1"/>
  <c r="I60" i="13"/>
  <c r="J60" i="13" s="1"/>
  <c r="K60" i="13"/>
  <c r="L60" i="13"/>
  <c r="M60" i="13"/>
  <c r="N60" i="13"/>
  <c r="C61" i="13"/>
  <c r="D61" i="13"/>
  <c r="E61" i="13"/>
  <c r="F61" i="13" s="1"/>
  <c r="G61" i="13"/>
  <c r="H61" i="13" s="1"/>
  <c r="I61" i="13"/>
  <c r="J61" i="13" s="1"/>
  <c r="K61" i="13"/>
  <c r="L61" i="13"/>
  <c r="M61" i="13"/>
  <c r="N61" i="13"/>
  <c r="C62" i="13"/>
  <c r="D62" i="13"/>
  <c r="E62" i="13"/>
  <c r="F62" i="13" s="1"/>
  <c r="G62" i="13"/>
  <c r="H62" i="13" s="1"/>
  <c r="I62" i="13"/>
  <c r="J62" i="13" s="1"/>
  <c r="K62" i="13"/>
  <c r="L62" i="13"/>
  <c r="M62" i="13"/>
  <c r="N62" i="13"/>
  <c r="C63" i="13"/>
  <c r="D63" i="13"/>
  <c r="E63" i="13"/>
  <c r="F63" i="13" s="1"/>
  <c r="G63" i="13"/>
  <c r="H63" i="13" s="1"/>
  <c r="I63" i="13"/>
  <c r="J63" i="13" s="1"/>
  <c r="K63" i="13"/>
  <c r="L63" i="13"/>
  <c r="M63" i="13"/>
  <c r="N63" i="13"/>
  <c r="C64" i="13"/>
  <c r="D64" i="13"/>
  <c r="E64" i="13"/>
  <c r="F64" i="13" s="1"/>
  <c r="G64" i="13"/>
  <c r="H64" i="13" s="1"/>
  <c r="I64" i="13"/>
  <c r="J64" i="13" s="1"/>
  <c r="K64" i="13"/>
  <c r="L64" i="13"/>
  <c r="M64" i="13"/>
  <c r="N64" i="13"/>
  <c r="C65" i="13"/>
  <c r="D65" i="13"/>
  <c r="E65" i="13"/>
  <c r="F65" i="13" s="1"/>
  <c r="G65" i="13"/>
  <c r="H65" i="13" s="1"/>
  <c r="I65" i="13"/>
  <c r="J65" i="13" s="1"/>
  <c r="K65" i="13"/>
  <c r="L65" i="13"/>
  <c r="M65" i="13"/>
  <c r="N65" i="13"/>
  <c r="N8" i="13"/>
  <c r="M8" i="13"/>
  <c r="L8" i="13"/>
  <c r="K8" i="13"/>
  <c r="I8" i="13"/>
  <c r="J8" i="13" s="1"/>
  <c r="G8" i="13"/>
  <c r="H8" i="13" s="1"/>
  <c r="E8" i="13"/>
  <c r="F8" i="13" s="1"/>
  <c r="D8" i="13"/>
  <c r="C8" i="13"/>
  <c r="C83" i="11"/>
  <c r="D83" i="11"/>
  <c r="E83" i="11"/>
  <c r="F83" i="11"/>
  <c r="G83" i="11"/>
  <c r="H83" i="11"/>
  <c r="I83" i="11"/>
  <c r="J83" i="11"/>
  <c r="K83" i="11"/>
  <c r="L83" i="11"/>
  <c r="M83" i="11"/>
  <c r="I83" i="12" s="1"/>
  <c r="N83" i="11"/>
  <c r="E83" i="12" s="1"/>
  <c r="C84" i="11"/>
  <c r="D84" i="11"/>
  <c r="E84" i="11"/>
  <c r="F84" i="11"/>
  <c r="G84" i="11"/>
  <c r="H84" i="11"/>
  <c r="I84" i="11"/>
  <c r="J84" i="11"/>
  <c r="K84" i="11"/>
  <c r="L84" i="11"/>
  <c r="M84" i="11"/>
  <c r="I84" i="12" s="1"/>
  <c r="N84" i="11"/>
  <c r="C85" i="11"/>
  <c r="D85" i="11"/>
  <c r="E85" i="11"/>
  <c r="F85" i="11"/>
  <c r="G85" i="11"/>
  <c r="H85" i="11"/>
  <c r="I85" i="11"/>
  <c r="J85" i="11"/>
  <c r="K85" i="11"/>
  <c r="L85" i="11"/>
  <c r="M85" i="11"/>
  <c r="I85" i="12" s="1"/>
  <c r="N85" i="11"/>
  <c r="C86" i="11"/>
  <c r="D86" i="11"/>
  <c r="E86" i="11"/>
  <c r="F86" i="11"/>
  <c r="G86" i="11"/>
  <c r="H86" i="11"/>
  <c r="I86" i="11"/>
  <c r="J86" i="11"/>
  <c r="K86" i="11"/>
  <c r="L86" i="11"/>
  <c r="M86" i="11"/>
  <c r="I86" i="12" s="1"/>
  <c r="N86" i="11"/>
  <c r="C87" i="11"/>
  <c r="D87" i="11"/>
  <c r="E87" i="11"/>
  <c r="F87" i="11"/>
  <c r="G87" i="11"/>
  <c r="H87" i="11"/>
  <c r="I87" i="11"/>
  <c r="J87" i="11"/>
  <c r="K87" i="11"/>
  <c r="L87" i="11"/>
  <c r="M87" i="11"/>
  <c r="I87" i="12" s="1"/>
  <c r="N87" i="11"/>
  <c r="E87" i="12" s="1"/>
  <c r="C88" i="11"/>
  <c r="D88" i="11"/>
  <c r="E88" i="11"/>
  <c r="F88" i="11"/>
  <c r="G88" i="11"/>
  <c r="H88" i="11"/>
  <c r="I88" i="11"/>
  <c r="J88" i="11"/>
  <c r="K88" i="11"/>
  <c r="L88" i="11"/>
  <c r="M88" i="11"/>
  <c r="I88" i="12" s="1"/>
  <c r="N88" i="11"/>
  <c r="C89" i="11"/>
  <c r="D89" i="11"/>
  <c r="E89" i="11"/>
  <c r="F89" i="11"/>
  <c r="G89" i="11"/>
  <c r="H89" i="11"/>
  <c r="I89" i="11"/>
  <c r="J89" i="11"/>
  <c r="K89" i="11"/>
  <c r="L89" i="11"/>
  <c r="M89" i="11"/>
  <c r="I89" i="12" s="1"/>
  <c r="N89" i="11"/>
  <c r="C90" i="11"/>
  <c r="D90" i="11"/>
  <c r="E90" i="11"/>
  <c r="F90" i="11"/>
  <c r="G90" i="11"/>
  <c r="H90" i="11"/>
  <c r="I90" i="11"/>
  <c r="J90" i="11"/>
  <c r="K90" i="11"/>
  <c r="L90" i="11"/>
  <c r="M90" i="11"/>
  <c r="I90" i="12" s="1"/>
  <c r="N90" i="11"/>
  <c r="C91" i="11"/>
  <c r="D91" i="11"/>
  <c r="E91" i="11"/>
  <c r="F91" i="11"/>
  <c r="G91" i="11"/>
  <c r="H91" i="11"/>
  <c r="I91" i="11"/>
  <c r="J91" i="11"/>
  <c r="K91" i="11"/>
  <c r="L91" i="11"/>
  <c r="M91" i="11"/>
  <c r="I91" i="12" s="1"/>
  <c r="N91" i="11"/>
  <c r="E91" i="12" s="1"/>
  <c r="C92" i="11"/>
  <c r="D92" i="11"/>
  <c r="E92" i="11"/>
  <c r="F92" i="11"/>
  <c r="G92" i="11"/>
  <c r="H92" i="11"/>
  <c r="I92" i="11"/>
  <c r="J92" i="11"/>
  <c r="K92" i="11"/>
  <c r="L92" i="11"/>
  <c r="M92" i="11"/>
  <c r="I92" i="12" s="1"/>
  <c r="N92" i="11"/>
  <c r="N82" i="11"/>
  <c r="H82" i="12" s="1"/>
  <c r="M82" i="11"/>
  <c r="I82" i="12" s="1"/>
  <c r="L82" i="11"/>
  <c r="K82" i="11"/>
  <c r="J82" i="11"/>
  <c r="I82" i="11"/>
  <c r="H82" i="11"/>
  <c r="G82" i="11"/>
  <c r="F82" i="11"/>
  <c r="E82" i="11"/>
  <c r="D82" i="11"/>
  <c r="C82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C70" i="11"/>
  <c r="D70" i="11"/>
  <c r="E70" i="11"/>
  <c r="F70" i="11"/>
  <c r="G70" i="11"/>
  <c r="H70" i="11"/>
  <c r="I70" i="11"/>
  <c r="J70" i="11"/>
  <c r="K70" i="11"/>
  <c r="L70" i="11"/>
  <c r="M70" i="11"/>
  <c r="I70" i="12" s="1"/>
  <c r="N70" i="11"/>
  <c r="E70" i="12" s="1"/>
  <c r="C71" i="11"/>
  <c r="D71" i="11"/>
  <c r="E71" i="11"/>
  <c r="F71" i="11"/>
  <c r="G71" i="11"/>
  <c r="H71" i="11"/>
  <c r="I71" i="11"/>
  <c r="J71" i="11"/>
  <c r="K71" i="11"/>
  <c r="L71" i="11"/>
  <c r="M71" i="11"/>
  <c r="I71" i="12" s="1"/>
  <c r="N71" i="11"/>
  <c r="C72" i="11"/>
  <c r="D72" i="11"/>
  <c r="E72" i="11"/>
  <c r="F72" i="11"/>
  <c r="G72" i="11"/>
  <c r="H72" i="11"/>
  <c r="I72" i="11"/>
  <c r="J72" i="11"/>
  <c r="K72" i="11"/>
  <c r="L72" i="11"/>
  <c r="M72" i="11"/>
  <c r="I72" i="12" s="1"/>
  <c r="N72" i="11"/>
  <c r="C73" i="11"/>
  <c r="D73" i="11"/>
  <c r="E73" i="11"/>
  <c r="F73" i="11"/>
  <c r="G73" i="11"/>
  <c r="H73" i="11"/>
  <c r="I73" i="11"/>
  <c r="J73" i="11"/>
  <c r="K73" i="11"/>
  <c r="L73" i="11"/>
  <c r="M73" i="11"/>
  <c r="I73" i="12" s="1"/>
  <c r="N73" i="11"/>
  <c r="H73" i="12" s="1"/>
  <c r="C74" i="11"/>
  <c r="D74" i="11"/>
  <c r="E74" i="11"/>
  <c r="F74" i="11"/>
  <c r="G74" i="11"/>
  <c r="H74" i="11"/>
  <c r="I74" i="11"/>
  <c r="J74" i="11"/>
  <c r="K74" i="11"/>
  <c r="L74" i="11"/>
  <c r="M74" i="11"/>
  <c r="I74" i="12" s="1"/>
  <c r="N74" i="11"/>
  <c r="C75" i="11"/>
  <c r="D75" i="11"/>
  <c r="E75" i="11"/>
  <c r="F75" i="11"/>
  <c r="G75" i="11"/>
  <c r="H75" i="11"/>
  <c r="I75" i="11"/>
  <c r="J75" i="11"/>
  <c r="K75" i="11"/>
  <c r="L75" i="11"/>
  <c r="M75" i="11"/>
  <c r="I75" i="12" s="1"/>
  <c r="N75" i="11"/>
  <c r="H75" i="12" s="1"/>
  <c r="C76" i="11"/>
  <c r="D76" i="11"/>
  <c r="E76" i="11"/>
  <c r="F76" i="11"/>
  <c r="G76" i="11"/>
  <c r="H76" i="11"/>
  <c r="I76" i="11"/>
  <c r="J76" i="11"/>
  <c r="K76" i="11"/>
  <c r="L76" i="11"/>
  <c r="M76" i="11"/>
  <c r="I76" i="12" s="1"/>
  <c r="N76" i="11"/>
  <c r="C77" i="11"/>
  <c r="D77" i="11"/>
  <c r="E77" i="11"/>
  <c r="F77" i="11"/>
  <c r="G77" i="11"/>
  <c r="H77" i="11"/>
  <c r="I77" i="11"/>
  <c r="J77" i="11"/>
  <c r="K77" i="11"/>
  <c r="L77" i="11"/>
  <c r="M77" i="11"/>
  <c r="I77" i="12" s="1"/>
  <c r="N77" i="11"/>
  <c r="H77" i="12" s="1"/>
  <c r="C78" i="11"/>
  <c r="D78" i="11"/>
  <c r="E78" i="11"/>
  <c r="F78" i="11"/>
  <c r="G78" i="11"/>
  <c r="H78" i="11"/>
  <c r="I78" i="11"/>
  <c r="J78" i="11"/>
  <c r="K78" i="11"/>
  <c r="L78" i="11"/>
  <c r="M78" i="11"/>
  <c r="I78" i="12" s="1"/>
  <c r="N78" i="11"/>
  <c r="C79" i="11"/>
  <c r="D79" i="11"/>
  <c r="E79" i="11"/>
  <c r="F79" i="11"/>
  <c r="G79" i="11"/>
  <c r="H79" i="11"/>
  <c r="I79" i="11"/>
  <c r="J79" i="11"/>
  <c r="K79" i="11"/>
  <c r="L79" i="11"/>
  <c r="M79" i="11"/>
  <c r="I79" i="12" s="1"/>
  <c r="N79" i="11"/>
  <c r="H79" i="12" s="1"/>
  <c r="N68" i="11"/>
  <c r="E68" i="12" s="1"/>
  <c r="M68" i="11"/>
  <c r="I68" i="12" s="1"/>
  <c r="L68" i="11"/>
  <c r="K68" i="11"/>
  <c r="J68" i="11"/>
  <c r="I68" i="11"/>
  <c r="H68" i="11"/>
  <c r="G68" i="11"/>
  <c r="F68" i="11"/>
  <c r="E68" i="11"/>
  <c r="D68" i="11"/>
  <c r="C68" i="11"/>
  <c r="C9" i="11"/>
  <c r="D9" i="11"/>
  <c r="E9" i="11"/>
  <c r="F9" i="11"/>
  <c r="G9" i="11"/>
  <c r="H9" i="11"/>
  <c r="I9" i="11"/>
  <c r="J9" i="11"/>
  <c r="K9" i="11"/>
  <c r="L9" i="11"/>
  <c r="M9" i="11"/>
  <c r="I9" i="12" s="1"/>
  <c r="N9" i="11"/>
  <c r="H9" i="12" s="1"/>
  <c r="C10" i="11"/>
  <c r="D10" i="11"/>
  <c r="E10" i="11"/>
  <c r="F10" i="11"/>
  <c r="G10" i="11"/>
  <c r="H10" i="11"/>
  <c r="I10" i="11"/>
  <c r="J10" i="11"/>
  <c r="K10" i="11"/>
  <c r="L10" i="11"/>
  <c r="M10" i="11"/>
  <c r="I10" i="12" s="1"/>
  <c r="N10" i="11"/>
  <c r="C11" i="11"/>
  <c r="D11" i="11"/>
  <c r="E11" i="11"/>
  <c r="F11" i="11"/>
  <c r="G11" i="11"/>
  <c r="H11" i="11"/>
  <c r="I11" i="11"/>
  <c r="J11" i="11"/>
  <c r="K11" i="11"/>
  <c r="L11" i="11"/>
  <c r="M11" i="11"/>
  <c r="I11" i="12" s="1"/>
  <c r="N11" i="11"/>
  <c r="H11" i="12" s="1"/>
  <c r="C12" i="11"/>
  <c r="D12" i="11"/>
  <c r="E12" i="11"/>
  <c r="F12" i="11"/>
  <c r="G12" i="11"/>
  <c r="H12" i="11"/>
  <c r="I12" i="11"/>
  <c r="J12" i="11"/>
  <c r="K12" i="11"/>
  <c r="L12" i="11"/>
  <c r="M12" i="11"/>
  <c r="N12" i="11"/>
  <c r="C13" i="11"/>
  <c r="D13" i="11"/>
  <c r="E13" i="11"/>
  <c r="F13" i="11"/>
  <c r="G13" i="11"/>
  <c r="H13" i="11"/>
  <c r="I13" i="11"/>
  <c r="J13" i="11"/>
  <c r="K13" i="11"/>
  <c r="L13" i="11"/>
  <c r="M13" i="11"/>
  <c r="I13" i="12" s="1"/>
  <c r="N13" i="11"/>
  <c r="G13" i="12" s="1"/>
  <c r="C14" i="11"/>
  <c r="D14" i="11"/>
  <c r="E14" i="11"/>
  <c r="F14" i="11"/>
  <c r="G14" i="11"/>
  <c r="H14" i="11"/>
  <c r="I14" i="11"/>
  <c r="J14" i="11"/>
  <c r="K14" i="11"/>
  <c r="L14" i="11"/>
  <c r="M14" i="11"/>
  <c r="I14" i="12" s="1"/>
  <c r="N14" i="11"/>
  <c r="C15" i="11"/>
  <c r="D15" i="11"/>
  <c r="E15" i="11"/>
  <c r="F15" i="11"/>
  <c r="G15" i="11"/>
  <c r="H15" i="11"/>
  <c r="I15" i="11"/>
  <c r="J15" i="11"/>
  <c r="K15" i="11"/>
  <c r="L15" i="11"/>
  <c r="M15" i="11"/>
  <c r="I15" i="12" s="1"/>
  <c r="N15" i="11"/>
  <c r="G15" i="12" s="1"/>
  <c r="C16" i="11"/>
  <c r="D16" i="11"/>
  <c r="E16" i="11"/>
  <c r="F16" i="11"/>
  <c r="G16" i="11"/>
  <c r="H16" i="11"/>
  <c r="I16" i="11"/>
  <c r="J16" i="11"/>
  <c r="K16" i="11"/>
  <c r="L16" i="11"/>
  <c r="M16" i="11"/>
  <c r="I16" i="12" s="1"/>
  <c r="N16" i="11"/>
  <c r="C17" i="11"/>
  <c r="D17" i="11"/>
  <c r="E17" i="11"/>
  <c r="F17" i="11"/>
  <c r="G17" i="11"/>
  <c r="H17" i="11"/>
  <c r="I17" i="11"/>
  <c r="J17" i="11"/>
  <c r="K17" i="11"/>
  <c r="L17" i="11"/>
  <c r="M17" i="11"/>
  <c r="I17" i="12" s="1"/>
  <c r="N17" i="11"/>
  <c r="G17" i="12" s="1"/>
  <c r="C18" i="11"/>
  <c r="D18" i="11"/>
  <c r="E18" i="11"/>
  <c r="F18" i="11"/>
  <c r="G18" i="11"/>
  <c r="H18" i="11"/>
  <c r="I18" i="11"/>
  <c r="J18" i="11"/>
  <c r="K18" i="11"/>
  <c r="L18" i="11"/>
  <c r="M18" i="11"/>
  <c r="I18" i="12" s="1"/>
  <c r="N18" i="11"/>
  <c r="C19" i="11"/>
  <c r="D19" i="11"/>
  <c r="E19" i="11"/>
  <c r="F19" i="11"/>
  <c r="G19" i="11"/>
  <c r="H19" i="11"/>
  <c r="I19" i="11"/>
  <c r="J19" i="11"/>
  <c r="K19" i="11"/>
  <c r="L19" i="11"/>
  <c r="M19" i="11"/>
  <c r="I19" i="12" s="1"/>
  <c r="N19" i="11"/>
  <c r="G19" i="12" s="1"/>
  <c r="C20" i="11"/>
  <c r="D20" i="11"/>
  <c r="E20" i="11"/>
  <c r="F20" i="11"/>
  <c r="G20" i="11"/>
  <c r="H20" i="11"/>
  <c r="I20" i="11"/>
  <c r="J20" i="11"/>
  <c r="K20" i="11"/>
  <c r="L20" i="11"/>
  <c r="M20" i="11"/>
  <c r="I20" i="12" s="1"/>
  <c r="N20" i="11"/>
  <c r="C21" i="11"/>
  <c r="D21" i="11"/>
  <c r="E21" i="11"/>
  <c r="F21" i="11"/>
  <c r="G21" i="11"/>
  <c r="H21" i="11"/>
  <c r="I21" i="11"/>
  <c r="J21" i="11"/>
  <c r="K21" i="11"/>
  <c r="L21" i="11"/>
  <c r="M21" i="11"/>
  <c r="I21" i="12" s="1"/>
  <c r="N21" i="11"/>
  <c r="G21" i="12" s="1"/>
  <c r="C22" i="11"/>
  <c r="D22" i="11"/>
  <c r="E22" i="11"/>
  <c r="F22" i="11"/>
  <c r="G22" i="11"/>
  <c r="H22" i="11"/>
  <c r="I22" i="11"/>
  <c r="J22" i="11"/>
  <c r="K22" i="11"/>
  <c r="L22" i="11"/>
  <c r="M22" i="11"/>
  <c r="I22" i="12" s="1"/>
  <c r="N22" i="11"/>
  <c r="C23" i="11"/>
  <c r="D23" i="11"/>
  <c r="E23" i="11"/>
  <c r="F23" i="11"/>
  <c r="G23" i="11"/>
  <c r="H23" i="11"/>
  <c r="I23" i="11"/>
  <c r="J23" i="11"/>
  <c r="K23" i="11"/>
  <c r="L23" i="11"/>
  <c r="M23" i="11"/>
  <c r="I23" i="12" s="1"/>
  <c r="N23" i="11"/>
  <c r="G23" i="12" s="1"/>
  <c r="C24" i="11"/>
  <c r="D24" i="11"/>
  <c r="E24" i="11"/>
  <c r="F24" i="11"/>
  <c r="G24" i="11"/>
  <c r="H24" i="11"/>
  <c r="I24" i="11"/>
  <c r="J24" i="11"/>
  <c r="K24" i="11"/>
  <c r="L24" i="11"/>
  <c r="M24" i="11"/>
  <c r="I24" i="12" s="1"/>
  <c r="N24" i="11"/>
  <c r="C25" i="11"/>
  <c r="D25" i="11"/>
  <c r="E25" i="11"/>
  <c r="F25" i="11"/>
  <c r="G25" i="11"/>
  <c r="H25" i="11"/>
  <c r="I25" i="11"/>
  <c r="J25" i="11"/>
  <c r="K25" i="11"/>
  <c r="L25" i="11"/>
  <c r="M25" i="11"/>
  <c r="I25" i="12" s="1"/>
  <c r="N25" i="11"/>
  <c r="G25" i="12" s="1"/>
  <c r="C26" i="11"/>
  <c r="D26" i="11"/>
  <c r="E26" i="11"/>
  <c r="F26" i="11"/>
  <c r="G26" i="11"/>
  <c r="H26" i="11"/>
  <c r="I26" i="11"/>
  <c r="J26" i="11"/>
  <c r="K26" i="11"/>
  <c r="L26" i="11"/>
  <c r="M26" i="11"/>
  <c r="I26" i="12" s="1"/>
  <c r="N26" i="11"/>
  <c r="C27" i="11"/>
  <c r="D27" i="11"/>
  <c r="E27" i="11"/>
  <c r="F27" i="11"/>
  <c r="G27" i="11"/>
  <c r="H27" i="11"/>
  <c r="I27" i="11"/>
  <c r="J27" i="11"/>
  <c r="K27" i="11"/>
  <c r="L27" i="11"/>
  <c r="M27" i="11"/>
  <c r="I27" i="12" s="1"/>
  <c r="N27" i="11"/>
  <c r="G27" i="12" s="1"/>
  <c r="C28" i="11"/>
  <c r="D28" i="11"/>
  <c r="E28" i="11"/>
  <c r="F28" i="11"/>
  <c r="G28" i="11"/>
  <c r="H28" i="11"/>
  <c r="I28" i="11"/>
  <c r="J28" i="11"/>
  <c r="K28" i="11"/>
  <c r="L28" i="11"/>
  <c r="M28" i="11"/>
  <c r="I28" i="12" s="1"/>
  <c r="N28" i="11"/>
  <c r="C29" i="11"/>
  <c r="D29" i="11"/>
  <c r="E29" i="11"/>
  <c r="F29" i="11"/>
  <c r="G29" i="11"/>
  <c r="H29" i="11"/>
  <c r="I29" i="11"/>
  <c r="J29" i="11"/>
  <c r="K29" i="11"/>
  <c r="L29" i="11"/>
  <c r="M29" i="11"/>
  <c r="I29" i="12" s="1"/>
  <c r="N29" i="11"/>
  <c r="G29" i="12" s="1"/>
  <c r="C30" i="11"/>
  <c r="D30" i="11"/>
  <c r="E30" i="11"/>
  <c r="F30" i="11"/>
  <c r="G30" i="11"/>
  <c r="H30" i="11"/>
  <c r="I30" i="11"/>
  <c r="J30" i="11"/>
  <c r="K30" i="11"/>
  <c r="L30" i="11"/>
  <c r="M30" i="11"/>
  <c r="I30" i="12" s="1"/>
  <c r="N30" i="11"/>
  <c r="G30" i="12" s="1"/>
  <c r="C31" i="11"/>
  <c r="D31" i="11"/>
  <c r="E31" i="11"/>
  <c r="F31" i="11"/>
  <c r="G31" i="11"/>
  <c r="H31" i="11"/>
  <c r="I31" i="11"/>
  <c r="J31" i="11"/>
  <c r="K31" i="11"/>
  <c r="L31" i="11"/>
  <c r="M31" i="11"/>
  <c r="I31" i="12" s="1"/>
  <c r="N31" i="11"/>
  <c r="G31" i="12" s="1"/>
  <c r="C32" i="11"/>
  <c r="D32" i="11"/>
  <c r="E32" i="11"/>
  <c r="F32" i="11"/>
  <c r="G32" i="11"/>
  <c r="H32" i="11"/>
  <c r="I32" i="11"/>
  <c r="J32" i="11"/>
  <c r="K32" i="11"/>
  <c r="L32" i="11"/>
  <c r="M32" i="11"/>
  <c r="I32" i="12" s="1"/>
  <c r="N32" i="11"/>
  <c r="G32" i="12" s="1"/>
  <c r="C33" i="11"/>
  <c r="D33" i="11"/>
  <c r="E33" i="11"/>
  <c r="F33" i="11"/>
  <c r="G33" i="11"/>
  <c r="H33" i="11"/>
  <c r="I33" i="11"/>
  <c r="J33" i="11"/>
  <c r="K33" i="11"/>
  <c r="L33" i="11"/>
  <c r="M33" i="11"/>
  <c r="I33" i="12" s="1"/>
  <c r="N33" i="11"/>
  <c r="G33" i="12" s="1"/>
  <c r="C34" i="11"/>
  <c r="D34" i="11"/>
  <c r="E34" i="11"/>
  <c r="F34" i="11"/>
  <c r="G34" i="11"/>
  <c r="H34" i="11"/>
  <c r="I34" i="11"/>
  <c r="J34" i="11"/>
  <c r="K34" i="11"/>
  <c r="L34" i="11"/>
  <c r="M34" i="11"/>
  <c r="I34" i="12" s="1"/>
  <c r="N34" i="11"/>
  <c r="G34" i="12" s="1"/>
  <c r="C35" i="11"/>
  <c r="D35" i="11"/>
  <c r="E35" i="11"/>
  <c r="F35" i="11"/>
  <c r="G35" i="11"/>
  <c r="H35" i="11"/>
  <c r="I35" i="11"/>
  <c r="J35" i="11"/>
  <c r="K35" i="11"/>
  <c r="L35" i="11"/>
  <c r="M35" i="11"/>
  <c r="I35" i="12" s="1"/>
  <c r="N35" i="11"/>
  <c r="G35" i="12" s="1"/>
  <c r="C36" i="11"/>
  <c r="D36" i="11"/>
  <c r="E36" i="11"/>
  <c r="F36" i="11"/>
  <c r="G36" i="11"/>
  <c r="H36" i="11"/>
  <c r="I36" i="11"/>
  <c r="J36" i="11"/>
  <c r="K36" i="11"/>
  <c r="L36" i="11"/>
  <c r="M36" i="11"/>
  <c r="I36" i="12" s="1"/>
  <c r="N36" i="11"/>
  <c r="G36" i="12" s="1"/>
  <c r="C37" i="11"/>
  <c r="D37" i="11"/>
  <c r="E37" i="11"/>
  <c r="F37" i="11"/>
  <c r="G37" i="11"/>
  <c r="H37" i="11"/>
  <c r="I37" i="11"/>
  <c r="J37" i="11"/>
  <c r="K37" i="11"/>
  <c r="L37" i="11"/>
  <c r="M37" i="11"/>
  <c r="I37" i="12" s="1"/>
  <c r="N37" i="11"/>
  <c r="G37" i="12" s="1"/>
  <c r="C38" i="11"/>
  <c r="D38" i="11"/>
  <c r="E38" i="11"/>
  <c r="F38" i="11"/>
  <c r="G38" i="11"/>
  <c r="H38" i="11"/>
  <c r="I38" i="11"/>
  <c r="J38" i="11"/>
  <c r="K38" i="11"/>
  <c r="L38" i="11"/>
  <c r="M38" i="11"/>
  <c r="I38" i="12" s="1"/>
  <c r="N38" i="11"/>
  <c r="G38" i="12" s="1"/>
  <c r="C39" i="11"/>
  <c r="D39" i="11"/>
  <c r="E39" i="11"/>
  <c r="F39" i="11"/>
  <c r="G39" i="11"/>
  <c r="H39" i="11"/>
  <c r="I39" i="11"/>
  <c r="J39" i="11"/>
  <c r="K39" i="11"/>
  <c r="L39" i="11"/>
  <c r="M39" i="11"/>
  <c r="I39" i="12" s="1"/>
  <c r="N39" i="11"/>
  <c r="D39" i="12" s="1"/>
  <c r="C40" i="11"/>
  <c r="D40" i="11"/>
  <c r="E40" i="11"/>
  <c r="F40" i="11"/>
  <c r="G40" i="11"/>
  <c r="H40" i="11"/>
  <c r="I40" i="11"/>
  <c r="J40" i="11"/>
  <c r="K40" i="11"/>
  <c r="L40" i="11"/>
  <c r="M40" i="11"/>
  <c r="I40" i="12" s="1"/>
  <c r="N40" i="11"/>
  <c r="G40" i="12" s="1"/>
  <c r="C41" i="11"/>
  <c r="D41" i="11"/>
  <c r="E41" i="11"/>
  <c r="F41" i="11"/>
  <c r="G41" i="11"/>
  <c r="H41" i="11"/>
  <c r="I41" i="11"/>
  <c r="J41" i="11"/>
  <c r="K41" i="11"/>
  <c r="L41" i="11"/>
  <c r="M41" i="11"/>
  <c r="I41" i="12" s="1"/>
  <c r="N41" i="11"/>
  <c r="D41" i="12" s="1"/>
  <c r="C42" i="11"/>
  <c r="D42" i="11"/>
  <c r="E42" i="11"/>
  <c r="F42" i="11"/>
  <c r="G42" i="11"/>
  <c r="H42" i="11"/>
  <c r="I42" i="11"/>
  <c r="J42" i="11"/>
  <c r="K42" i="11"/>
  <c r="L42" i="11"/>
  <c r="M42" i="11"/>
  <c r="I42" i="12" s="1"/>
  <c r="N42" i="11"/>
  <c r="G42" i="12" s="1"/>
  <c r="C43" i="11"/>
  <c r="D43" i="11"/>
  <c r="E43" i="11"/>
  <c r="F43" i="11"/>
  <c r="G43" i="11"/>
  <c r="H43" i="11"/>
  <c r="I43" i="11"/>
  <c r="J43" i="11"/>
  <c r="K43" i="11"/>
  <c r="L43" i="11"/>
  <c r="M43" i="11"/>
  <c r="I43" i="12" s="1"/>
  <c r="N43" i="11"/>
  <c r="D43" i="12" s="1"/>
  <c r="C44" i="11"/>
  <c r="D44" i="11"/>
  <c r="E44" i="11"/>
  <c r="F44" i="11"/>
  <c r="G44" i="11"/>
  <c r="H44" i="11"/>
  <c r="I44" i="11"/>
  <c r="J44" i="11"/>
  <c r="K44" i="11"/>
  <c r="L44" i="11"/>
  <c r="M44" i="11"/>
  <c r="I44" i="12" s="1"/>
  <c r="N44" i="11"/>
  <c r="G44" i="12" s="1"/>
  <c r="C45" i="11"/>
  <c r="D45" i="11"/>
  <c r="E45" i="11"/>
  <c r="F45" i="11"/>
  <c r="G45" i="11"/>
  <c r="H45" i="11"/>
  <c r="I45" i="11"/>
  <c r="J45" i="11"/>
  <c r="K45" i="11"/>
  <c r="L45" i="11"/>
  <c r="M45" i="11"/>
  <c r="I45" i="12" s="1"/>
  <c r="N45" i="11"/>
  <c r="D45" i="12" s="1"/>
  <c r="C46" i="11"/>
  <c r="D46" i="11"/>
  <c r="E46" i="11"/>
  <c r="F46" i="11"/>
  <c r="G46" i="11"/>
  <c r="H46" i="11"/>
  <c r="I46" i="11"/>
  <c r="J46" i="11"/>
  <c r="K46" i="11"/>
  <c r="L46" i="11"/>
  <c r="M46" i="11"/>
  <c r="I46" i="12" s="1"/>
  <c r="N46" i="11"/>
  <c r="G46" i="12" s="1"/>
  <c r="C47" i="11"/>
  <c r="D47" i="11"/>
  <c r="E47" i="11"/>
  <c r="F47" i="11"/>
  <c r="G47" i="11"/>
  <c r="H47" i="11"/>
  <c r="I47" i="11"/>
  <c r="J47" i="11"/>
  <c r="K47" i="11"/>
  <c r="L47" i="11"/>
  <c r="M47" i="11"/>
  <c r="I47" i="12" s="1"/>
  <c r="N47" i="11"/>
  <c r="D47" i="12" s="1"/>
  <c r="C48" i="11"/>
  <c r="D48" i="11"/>
  <c r="E48" i="11"/>
  <c r="F48" i="11"/>
  <c r="G48" i="11"/>
  <c r="H48" i="11"/>
  <c r="I48" i="11"/>
  <c r="J48" i="11"/>
  <c r="K48" i="11"/>
  <c r="L48" i="11"/>
  <c r="M48" i="11"/>
  <c r="I48" i="12" s="1"/>
  <c r="N48" i="11"/>
  <c r="G48" i="12" s="1"/>
  <c r="C49" i="11"/>
  <c r="D49" i="11"/>
  <c r="E49" i="11"/>
  <c r="F49" i="11"/>
  <c r="G49" i="11"/>
  <c r="H49" i="11"/>
  <c r="I49" i="11"/>
  <c r="J49" i="11"/>
  <c r="K49" i="11"/>
  <c r="L49" i="11"/>
  <c r="M49" i="11"/>
  <c r="I49" i="12" s="1"/>
  <c r="N49" i="11"/>
  <c r="D49" i="12" s="1"/>
  <c r="C50" i="11"/>
  <c r="D50" i="11"/>
  <c r="E50" i="11"/>
  <c r="F50" i="11"/>
  <c r="G50" i="11"/>
  <c r="H50" i="11"/>
  <c r="I50" i="11"/>
  <c r="J50" i="11"/>
  <c r="K50" i="11"/>
  <c r="L50" i="11"/>
  <c r="M50" i="11"/>
  <c r="I50" i="12" s="1"/>
  <c r="N50" i="11"/>
  <c r="G50" i="12" s="1"/>
  <c r="C51" i="11"/>
  <c r="D51" i="11"/>
  <c r="E51" i="11"/>
  <c r="F51" i="11"/>
  <c r="G51" i="11"/>
  <c r="H51" i="11"/>
  <c r="I51" i="11"/>
  <c r="J51" i="11"/>
  <c r="K51" i="11"/>
  <c r="L51" i="11"/>
  <c r="M51" i="11"/>
  <c r="I51" i="12" s="1"/>
  <c r="N51" i="11"/>
  <c r="D51" i="12" s="1"/>
  <c r="C52" i="11"/>
  <c r="D52" i="11"/>
  <c r="E52" i="11"/>
  <c r="F52" i="11"/>
  <c r="G52" i="11"/>
  <c r="H52" i="11"/>
  <c r="I52" i="11"/>
  <c r="J52" i="11"/>
  <c r="K52" i="11"/>
  <c r="L52" i="11"/>
  <c r="M52" i="11"/>
  <c r="I52" i="12" s="1"/>
  <c r="N52" i="11"/>
  <c r="G52" i="12" s="1"/>
  <c r="C53" i="11"/>
  <c r="D53" i="11"/>
  <c r="E53" i="11"/>
  <c r="F53" i="11"/>
  <c r="G53" i="11"/>
  <c r="H53" i="11"/>
  <c r="I53" i="11"/>
  <c r="J53" i="11"/>
  <c r="K53" i="11"/>
  <c r="L53" i="11"/>
  <c r="M53" i="11"/>
  <c r="I53" i="12" s="1"/>
  <c r="N53" i="11"/>
  <c r="D53" i="12" s="1"/>
  <c r="C54" i="11"/>
  <c r="D54" i="11"/>
  <c r="E54" i="11"/>
  <c r="F54" i="11"/>
  <c r="G54" i="11"/>
  <c r="H54" i="11"/>
  <c r="I54" i="11"/>
  <c r="J54" i="11"/>
  <c r="K54" i="11"/>
  <c r="L54" i="11"/>
  <c r="M54" i="11"/>
  <c r="I54" i="12" s="1"/>
  <c r="N54" i="11"/>
  <c r="D54" i="12" s="1"/>
  <c r="C55" i="11"/>
  <c r="D55" i="11"/>
  <c r="E55" i="11"/>
  <c r="F55" i="11"/>
  <c r="G55" i="11"/>
  <c r="H55" i="11"/>
  <c r="I55" i="11"/>
  <c r="J55" i="11"/>
  <c r="K55" i="11"/>
  <c r="L55" i="11"/>
  <c r="M55" i="11"/>
  <c r="I55" i="12" s="1"/>
  <c r="N55" i="11"/>
  <c r="D55" i="12" s="1"/>
  <c r="C56" i="11"/>
  <c r="D56" i="11"/>
  <c r="E56" i="11"/>
  <c r="F56" i="11"/>
  <c r="G56" i="11"/>
  <c r="H56" i="11"/>
  <c r="I56" i="11"/>
  <c r="J56" i="11"/>
  <c r="K56" i="11"/>
  <c r="L56" i="11"/>
  <c r="M56" i="11"/>
  <c r="I56" i="12" s="1"/>
  <c r="N56" i="11"/>
  <c r="D56" i="12" s="1"/>
  <c r="C57" i="11"/>
  <c r="D57" i="11"/>
  <c r="E57" i="11"/>
  <c r="F57" i="11"/>
  <c r="G57" i="11"/>
  <c r="H57" i="11"/>
  <c r="I57" i="11"/>
  <c r="J57" i="11"/>
  <c r="K57" i="11"/>
  <c r="L57" i="11"/>
  <c r="M57" i="11"/>
  <c r="I57" i="12" s="1"/>
  <c r="N57" i="11"/>
  <c r="D57" i="12" s="1"/>
  <c r="C58" i="11"/>
  <c r="D58" i="11"/>
  <c r="E58" i="11"/>
  <c r="F58" i="11"/>
  <c r="G58" i="11"/>
  <c r="H58" i="11"/>
  <c r="I58" i="11"/>
  <c r="J58" i="11"/>
  <c r="K58" i="11"/>
  <c r="L58" i="11"/>
  <c r="M58" i="11"/>
  <c r="I58" i="12" s="1"/>
  <c r="N58" i="11"/>
  <c r="H58" i="12" s="1"/>
  <c r="C59" i="11"/>
  <c r="D59" i="11"/>
  <c r="E59" i="11"/>
  <c r="F59" i="11"/>
  <c r="G59" i="11"/>
  <c r="H59" i="11"/>
  <c r="I59" i="11"/>
  <c r="J59" i="11"/>
  <c r="K59" i="11"/>
  <c r="L59" i="11"/>
  <c r="M59" i="11"/>
  <c r="I59" i="12" s="1"/>
  <c r="N59" i="11"/>
  <c r="D59" i="12" s="1"/>
  <c r="C60" i="11"/>
  <c r="D60" i="11"/>
  <c r="E60" i="11"/>
  <c r="F60" i="11"/>
  <c r="G60" i="11"/>
  <c r="H60" i="11"/>
  <c r="I60" i="11"/>
  <c r="J60" i="11"/>
  <c r="K60" i="11"/>
  <c r="L60" i="11"/>
  <c r="M60" i="11"/>
  <c r="I60" i="12" s="1"/>
  <c r="N60" i="11"/>
  <c r="H60" i="12" s="1"/>
  <c r="C61" i="11"/>
  <c r="D61" i="11"/>
  <c r="E61" i="11"/>
  <c r="F61" i="11"/>
  <c r="G61" i="11"/>
  <c r="H61" i="11"/>
  <c r="I61" i="11"/>
  <c r="J61" i="11"/>
  <c r="K61" i="11"/>
  <c r="L61" i="11"/>
  <c r="M61" i="11"/>
  <c r="I61" i="12" s="1"/>
  <c r="N61" i="11"/>
  <c r="D61" i="12" s="1"/>
  <c r="C62" i="11"/>
  <c r="D62" i="11"/>
  <c r="E62" i="11"/>
  <c r="F62" i="11"/>
  <c r="G62" i="11"/>
  <c r="H62" i="11"/>
  <c r="I62" i="11"/>
  <c r="J62" i="11"/>
  <c r="K62" i="11"/>
  <c r="L62" i="11"/>
  <c r="M62" i="11"/>
  <c r="I62" i="12" s="1"/>
  <c r="N62" i="11"/>
  <c r="D62" i="12" s="1"/>
  <c r="C63" i="11"/>
  <c r="D63" i="11"/>
  <c r="E63" i="11"/>
  <c r="F63" i="11"/>
  <c r="G63" i="11"/>
  <c r="H63" i="11"/>
  <c r="I63" i="11"/>
  <c r="J63" i="11"/>
  <c r="K63" i="11"/>
  <c r="L63" i="11"/>
  <c r="M63" i="11"/>
  <c r="I63" i="12" s="1"/>
  <c r="N63" i="11"/>
  <c r="D63" i="12" s="1"/>
  <c r="C64" i="11"/>
  <c r="D64" i="11"/>
  <c r="E64" i="11"/>
  <c r="F64" i="11"/>
  <c r="G64" i="11"/>
  <c r="H64" i="11"/>
  <c r="I64" i="11"/>
  <c r="J64" i="11"/>
  <c r="K64" i="11"/>
  <c r="L64" i="11"/>
  <c r="M64" i="11"/>
  <c r="I64" i="12" s="1"/>
  <c r="N64" i="11"/>
  <c r="D64" i="12" s="1"/>
  <c r="C65" i="11"/>
  <c r="D65" i="11"/>
  <c r="E65" i="11"/>
  <c r="F65" i="11"/>
  <c r="G65" i="11"/>
  <c r="H65" i="11"/>
  <c r="I65" i="11"/>
  <c r="J65" i="11"/>
  <c r="K65" i="11"/>
  <c r="L65" i="11"/>
  <c r="M65" i="11"/>
  <c r="I65" i="12" s="1"/>
  <c r="N65" i="11"/>
  <c r="D65" i="12" s="1"/>
  <c r="N8" i="11"/>
  <c r="M8" i="11"/>
  <c r="I8" i="12" s="1"/>
  <c r="L8" i="11"/>
  <c r="K8" i="11"/>
  <c r="J8" i="11"/>
  <c r="I8" i="11"/>
  <c r="H8" i="11"/>
  <c r="G8" i="11"/>
  <c r="F8" i="11"/>
  <c r="E8" i="11"/>
  <c r="D8" i="11"/>
  <c r="C8" i="11"/>
  <c r="C83" i="9"/>
  <c r="D83" i="9"/>
  <c r="E83" i="9"/>
  <c r="F83" i="9"/>
  <c r="F83" i="10" s="1"/>
  <c r="G83" i="9"/>
  <c r="H83" i="10" s="1"/>
  <c r="I83" i="9"/>
  <c r="J83" i="9"/>
  <c r="K83" i="9"/>
  <c r="G83" i="10" s="1"/>
  <c r="L83" i="9"/>
  <c r="C84" i="9"/>
  <c r="D84" i="9"/>
  <c r="E84" i="9"/>
  <c r="F84" i="9"/>
  <c r="F84" i="10" s="1"/>
  <c r="G84" i="9"/>
  <c r="I84" i="9"/>
  <c r="J84" i="9"/>
  <c r="K84" i="9"/>
  <c r="G84" i="10" s="1"/>
  <c r="L84" i="9"/>
  <c r="C85" i="9"/>
  <c r="D85" i="9"/>
  <c r="E85" i="9"/>
  <c r="F85" i="9"/>
  <c r="F85" i="10" s="1"/>
  <c r="G85" i="9"/>
  <c r="H85" i="10" s="1"/>
  <c r="I85" i="9"/>
  <c r="J85" i="9"/>
  <c r="K85" i="9"/>
  <c r="G85" i="10" s="1"/>
  <c r="L85" i="9"/>
  <c r="C86" i="9"/>
  <c r="D86" i="9"/>
  <c r="E86" i="9"/>
  <c r="F86" i="9"/>
  <c r="F86" i="10" s="1"/>
  <c r="G86" i="9"/>
  <c r="H86" i="10" s="1"/>
  <c r="I86" i="9"/>
  <c r="J86" i="9"/>
  <c r="K86" i="9"/>
  <c r="G86" i="10" s="1"/>
  <c r="L86" i="9"/>
  <c r="C87" i="9"/>
  <c r="D87" i="9"/>
  <c r="E87" i="9"/>
  <c r="F87" i="9"/>
  <c r="F87" i="10" s="1"/>
  <c r="G87" i="9"/>
  <c r="H87" i="10" s="1"/>
  <c r="I87" i="9"/>
  <c r="J87" i="9"/>
  <c r="K87" i="9"/>
  <c r="G87" i="10" s="1"/>
  <c r="L87" i="9"/>
  <c r="C88" i="9"/>
  <c r="D88" i="9"/>
  <c r="E88" i="9"/>
  <c r="F88" i="9"/>
  <c r="F88" i="10" s="1"/>
  <c r="G88" i="9"/>
  <c r="H88" i="10" s="1"/>
  <c r="I88" i="9"/>
  <c r="J88" i="9"/>
  <c r="K88" i="9"/>
  <c r="G88" i="10" s="1"/>
  <c r="L88" i="9"/>
  <c r="C89" i="9"/>
  <c r="D89" i="9"/>
  <c r="E89" i="9"/>
  <c r="F89" i="9"/>
  <c r="F89" i="10" s="1"/>
  <c r="G89" i="9"/>
  <c r="H89" i="10" s="1"/>
  <c r="I89" i="9"/>
  <c r="J89" i="9"/>
  <c r="K89" i="9"/>
  <c r="G89" i="10" s="1"/>
  <c r="L89" i="9"/>
  <c r="C90" i="9"/>
  <c r="D90" i="9"/>
  <c r="E90" i="9"/>
  <c r="F90" i="9"/>
  <c r="F90" i="10" s="1"/>
  <c r="G90" i="9"/>
  <c r="H90" i="10" s="1"/>
  <c r="I90" i="9"/>
  <c r="J90" i="9"/>
  <c r="K90" i="9"/>
  <c r="G90" i="10" s="1"/>
  <c r="L90" i="9"/>
  <c r="C91" i="9"/>
  <c r="D91" i="9"/>
  <c r="E91" i="9"/>
  <c r="F91" i="9"/>
  <c r="F91" i="10" s="1"/>
  <c r="G91" i="9"/>
  <c r="H91" i="10" s="1"/>
  <c r="I91" i="9"/>
  <c r="J91" i="9"/>
  <c r="K91" i="9"/>
  <c r="G91" i="10" s="1"/>
  <c r="L91" i="9"/>
  <c r="C92" i="9"/>
  <c r="D92" i="9"/>
  <c r="E92" i="9"/>
  <c r="F92" i="9"/>
  <c r="F92" i="10" s="1"/>
  <c r="G92" i="9"/>
  <c r="H92" i="10" s="1"/>
  <c r="I92" i="9"/>
  <c r="J92" i="9"/>
  <c r="K92" i="9"/>
  <c r="G92" i="10" s="1"/>
  <c r="L92" i="9"/>
  <c r="L82" i="9"/>
  <c r="K82" i="9"/>
  <c r="G82" i="10" s="1"/>
  <c r="J82" i="9"/>
  <c r="I82" i="9"/>
  <c r="G82" i="9"/>
  <c r="H82" i="10" s="1"/>
  <c r="F82" i="9"/>
  <c r="F82" i="10" s="1"/>
  <c r="E82" i="9"/>
  <c r="D82" i="9"/>
  <c r="C82" i="9"/>
  <c r="L71" i="9"/>
  <c r="L72" i="9"/>
  <c r="L73" i="9"/>
  <c r="L74" i="9"/>
  <c r="L75" i="9"/>
  <c r="L76" i="9"/>
  <c r="L77" i="9"/>
  <c r="L78" i="9"/>
  <c r="L79" i="9"/>
  <c r="L69" i="9"/>
  <c r="L70" i="9"/>
  <c r="D69" i="9"/>
  <c r="E69" i="9"/>
  <c r="F69" i="9"/>
  <c r="G69" i="9"/>
  <c r="I69" i="9"/>
  <c r="J69" i="9"/>
  <c r="K69" i="9"/>
  <c r="D70" i="9"/>
  <c r="E70" i="9"/>
  <c r="F70" i="9"/>
  <c r="F70" i="10" s="1"/>
  <c r="G70" i="9"/>
  <c r="H70" i="10" s="1"/>
  <c r="I70" i="9"/>
  <c r="J70" i="9"/>
  <c r="K70" i="9"/>
  <c r="G70" i="10" s="1"/>
  <c r="D71" i="9"/>
  <c r="E71" i="9"/>
  <c r="F71" i="9"/>
  <c r="F71" i="10" s="1"/>
  <c r="G71" i="9"/>
  <c r="H71" i="10" s="1"/>
  <c r="I71" i="9"/>
  <c r="J71" i="9"/>
  <c r="K71" i="9"/>
  <c r="G71" i="10" s="1"/>
  <c r="D72" i="9"/>
  <c r="E72" i="9"/>
  <c r="F72" i="9"/>
  <c r="F72" i="10" s="1"/>
  <c r="G72" i="9"/>
  <c r="H72" i="10" s="1"/>
  <c r="I72" i="9"/>
  <c r="J72" i="9"/>
  <c r="K72" i="9"/>
  <c r="G72" i="10" s="1"/>
  <c r="D73" i="9"/>
  <c r="E73" i="9"/>
  <c r="F73" i="9"/>
  <c r="F73" i="10" s="1"/>
  <c r="G73" i="9"/>
  <c r="H73" i="10" s="1"/>
  <c r="I73" i="9"/>
  <c r="J73" i="9"/>
  <c r="K73" i="9"/>
  <c r="G73" i="10" s="1"/>
  <c r="D74" i="9"/>
  <c r="E74" i="9"/>
  <c r="F74" i="9"/>
  <c r="F74" i="10" s="1"/>
  <c r="G74" i="9"/>
  <c r="H74" i="10" s="1"/>
  <c r="I74" i="9"/>
  <c r="J74" i="9"/>
  <c r="K74" i="9"/>
  <c r="G74" i="10" s="1"/>
  <c r="D75" i="9"/>
  <c r="E75" i="9"/>
  <c r="F75" i="9"/>
  <c r="F75" i="10" s="1"/>
  <c r="G75" i="9"/>
  <c r="H75" i="10" s="1"/>
  <c r="I75" i="9"/>
  <c r="J75" i="9"/>
  <c r="K75" i="9"/>
  <c r="G75" i="10" s="1"/>
  <c r="D76" i="9"/>
  <c r="E76" i="9"/>
  <c r="F76" i="9"/>
  <c r="F76" i="10" s="1"/>
  <c r="G76" i="9"/>
  <c r="H76" i="10" s="1"/>
  <c r="I76" i="9"/>
  <c r="J76" i="9"/>
  <c r="K76" i="9"/>
  <c r="G76" i="10" s="1"/>
  <c r="D77" i="9"/>
  <c r="E77" i="9"/>
  <c r="F77" i="9"/>
  <c r="F77" i="10" s="1"/>
  <c r="G77" i="9"/>
  <c r="H77" i="10" s="1"/>
  <c r="I77" i="9"/>
  <c r="J77" i="9"/>
  <c r="K77" i="9"/>
  <c r="G77" i="10" s="1"/>
  <c r="D78" i="9"/>
  <c r="E78" i="9"/>
  <c r="F78" i="9"/>
  <c r="F78" i="10" s="1"/>
  <c r="G78" i="9"/>
  <c r="H78" i="10" s="1"/>
  <c r="I78" i="9"/>
  <c r="J78" i="9"/>
  <c r="K78" i="9"/>
  <c r="G78" i="10" s="1"/>
  <c r="C69" i="9"/>
  <c r="C69" i="10" s="1"/>
  <c r="C70" i="9"/>
  <c r="C71" i="9"/>
  <c r="C71" i="10" s="1"/>
  <c r="C72" i="9"/>
  <c r="C73" i="9"/>
  <c r="C73" i="10" s="1"/>
  <c r="C74" i="9"/>
  <c r="C75" i="9"/>
  <c r="C75" i="10" s="1"/>
  <c r="C76" i="9"/>
  <c r="C77" i="9"/>
  <c r="C77" i="10" s="1"/>
  <c r="C78" i="9"/>
  <c r="C79" i="9"/>
  <c r="D79" i="9"/>
  <c r="E79" i="9"/>
  <c r="F79" i="9"/>
  <c r="G79" i="9"/>
  <c r="H79" i="10" s="1"/>
  <c r="I79" i="9"/>
  <c r="J79" i="9"/>
  <c r="K79" i="9"/>
  <c r="G79" i="10" s="1"/>
  <c r="L68" i="9"/>
  <c r="K68" i="9"/>
  <c r="G68" i="10" s="1"/>
  <c r="J68" i="9"/>
  <c r="I68" i="9"/>
  <c r="G68" i="9"/>
  <c r="H68" i="10" s="1"/>
  <c r="F68" i="9"/>
  <c r="F68" i="10" s="1"/>
  <c r="E68" i="9"/>
  <c r="D68" i="9"/>
  <c r="C6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8" i="9"/>
  <c r="K9" i="9"/>
  <c r="G9" i="10" s="1"/>
  <c r="K10" i="9"/>
  <c r="G10" i="10" s="1"/>
  <c r="K11" i="9"/>
  <c r="G11" i="10" s="1"/>
  <c r="K12" i="9"/>
  <c r="G12" i="10" s="1"/>
  <c r="K13" i="9"/>
  <c r="G13" i="10" s="1"/>
  <c r="K14" i="9"/>
  <c r="G14" i="10" s="1"/>
  <c r="K15" i="9"/>
  <c r="G15" i="10" s="1"/>
  <c r="K16" i="9"/>
  <c r="G16" i="10" s="1"/>
  <c r="K17" i="9"/>
  <c r="G17" i="10" s="1"/>
  <c r="K18" i="9"/>
  <c r="G18" i="10" s="1"/>
  <c r="K19" i="9"/>
  <c r="G19" i="10" s="1"/>
  <c r="K20" i="9"/>
  <c r="G20" i="10" s="1"/>
  <c r="K21" i="9"/>
  <c r="G21" i="10" s="1"/>
  <c r="K22" i="9"/>
  <c r="G22" i="10" s="1"/>
  <c r="K23" i="9"/>
  <c r="G23" i="10" s="1"/>
  <c r="K24" i="9"/>
  <c r="G24" i="10" s="1"/>
  <c r="K25" i="9"/>
  <c r="G25" i="10" s="1"/>
  <c r="K26" i="9"/>
  <c r="G26" i="10" s="1"/>
  <c r="K27" i="9"/>
  <c r="G27" i="10" s="1"/>
  <c r="K28" i="9"/>
  <c r="G28" i="10" s="1"/>
  <c r="K29" i="9"/>
  <c r="G29" i="10" s="1"/>
  <c r="K30" i="9"/>
  <c r="G30" i="10" s="1"/>
  <c r="K31" i="9"/>
  <c r="G31" i="10" s="1"/>
  <c r="K32" i="9"/>
  <c r="G32" i="10" s="1"/>
  <c r="K33" i="9"/>
  <c r="G33" i="10" s="1"/>
  <c r="K34" i="9"/>
  <c r="G34" i="10" s="1"/>
  <c r="K35" i="9"/>
  <c r="G35" i="10" s="1"/>
  <c r="K36" i="9"/>
  <c r="G36" i="10" s="1"/>
  <c r="K37" i="9"/>
  <c r="G37" i="10" s="1"/>
  <c r="K38" i="9"/>
  <c r="G38" i="10" s="1"/>
  <c r="K39" i="9"/>
  <c r="G39" i="10" s="1"/>
  <c r="K40" i="9"/>
  <c r="G40" i="10" s="1"/>
  <c r="K41" i="9"/>
  <c r="G41" i="10" s="1"/>
  <c r="K42" i="9"/>
  <c r="G42" i="10" s="1"/>
  <c r="K43" i="9"/>
  <c r="G43" i="10" s="1"/>
  <c r="K44" i="9"/>
  <c r="G44" i="10" s="1"/>
  <c r="K45" i="9"/>
  <c r="G45" i="10" s="1"/>
  <c r="K46" i="9"/>
  <c r="G46" i="10" s="1"/>
  <c r="K47" i="9"/>
  <c r="G47" i="10" s="1"/>
  <c r="K48" i="9"/>
  <c r="G48" i="10" s="1"/>
  <c r="K49" i="9"/>
  <c r="G49" i="10" s="1"/>
  <c r="K50" i="9"/>
  <c r="G50" i="10" s="1"/>
  <c r="K51" i="9"/>
  <c r="G51" i="10" s="1"/>
  <c r="K52" i="9"/>
  <c r="G52" i="10" s="1"/>
  <c r="K53" i="9"/>
  <c r="G53" i="10" s="1"/>
  <c r="K54" i="9"/>
  <c r="G54" i="10" s="1"/>
  <c r="K55" i="9"/>
  <c r="G55" i="10" s="1"/>
  <c r="K56" i="9"/>
  <c r="G56" i="10" s="1"/>
  <c r="K57" i="9"/>
  <c r="G57" i="10" s="1"/>
  <c r="K58" i="9"/>
  <c r="G58" i="10" s="1"/>
  <c r="K59" i="9"/>
  <c r="G59" i="10" s="1"/>
  <c r="K60" i="9"/>
  <c r="G60" i="10" s="1"/>
  <c r="K61" i="9"/>
  <c r="G61" i="10" s="1"/>
  <c r="K62" i="9"/>
  <c r="G62" i="10" s="1"/>
  <c r="K63" i="9"/>
  <c r="G63" i="10" s="1"/>
  <c r="K64" i="9"/>
  <c r="G64" i="10" s="1"/>
  <c r="K65" i="9"/>
  <c r="G65" i="10" s="1"/>
  <c r="K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8" i="9"/>
  <c r="G9" i="9"/>
  <c r="H9" i="10" s="1"/>
  <c r="G10" i="9"/>
  <c r="H10" i="10" s="1"/>
  <c r="G11" i="9"/>
  <c r="H11" i="10" s="1"/>
  <c r="G12" i="9"/>
  <c r="H12" i="10" s="1"/>
  <c r="G13" i="9"/>
  <c r="H13" i="10" s="1"/>
  <c r="G14" i="9"/>
  <c r="H14" i="10" s="1"/>
  <c r="G15" i="9"/>
  <c r="H15" i="10" s="1"/>
  <c r="G16" i="9"/>
  <c r="H16" i="10" s="1"/>
  <c r="G17" i="9"/>
  <c r="H17" i="10" s="1"/>
  <c r="G18" i="9"/>
  <c r="H18" i="10" s="1"/>
  <c r="G19" i="9"/>
  <c r="H19" i="10" s="1"/>
  <c r="G20" i="9"/>
  <c r="H20" i="10" s="1"/>
  <c r="G21" i="9"/>
  <c r="H21" i="10" s="1"/>
  <c r="G22" i="9"/>
  <c r="H22" i="10" s="1"/>
  <c r="G23" i="9"/>
  <c r="H23" i="10" s="1"/>
  <c r="G24" i="9"/>
  <c r="H24" i="10" s="1"/>
  <c r="G25" i="9"/>
  <c r="H25" i="10" s="1"/>
  <c r="G26" i="9"/>
  <c r="H26" i="10" s="1"/>
  <c r="G27" i="9"/>
  <c r="H27" i="10" s="1"/>
  <c r="G28" i="9"/>
  <c r="H28" i="10" s="1"/>
  <c r="G29" i="9"/>
  <c r="H29" i="10" s="1"/>
  <c r="G30" i="9"/>
  <c r="H30" i="10" s="1"/>
  <c r="G31" i="9"/>
  <c r="H31" i="10" s="1"/>
  <c r="G32" i="9"/>
  <c r="H32" i="10" s="1"/>
  <c r="G33" i="9"/>
  <c r="H33" i="10" s="1"/>
  <c r="G34" i="9"/>
  <c r="H34" i="10" s="1"/>
  <c r="G35" i="9"/>
  <c r="H35" i="10" s="1"/>
  <c r="G36" i="9"/>
  <c r="H36" i="10" s="1"/>
  <c r="G37" i="9"/>
  <c r="H37" i="10" s="1"/>
  <c r="G38" i="9"/>
  <c r="H38" i="10" s="1"/>
  <c r="G39" i="9"/>
  <c r="H39" i="10" s="1"/>
  <c r="G40" i="9"/>
  <c r="H40" i="10" s="1"/>
  <c r="G41" i="9"/>
  <c r="H41" i="10" s="1"/>
  <c r="G42" i="9"/>
  <c r="H42" i="10" s="1"/>
  <c r="G43" i="9"/>
  <c r="H43" i="10" s="1"/>
  <c r="G44" i="9"/>
  <c r="H44" i="10" s="1"/>
  <c r="G45" i="9"/>
  <c r="H45" i="10" s="1"/>
  <c r="G46" i="9"/>
  <c r="H46" i="10" s="1"/>
  <c r="G47" i="9"/>
  <c r="H47" i="10" s="1"/>
  <c r="G48" i="9"/>
  <c r="H48" i="10" s="1"/>
  <c r="G49" i="9"/>
  <c r="H49" i="10" s="1"/>
  <c r="G50" i="9"/>
  <c r="H50" i="10" s="1"/>
  <c r="G51" i="9"/>
  <c r="H51" i="10" s="1"/>
  <c r="G52" i="9"/>
  <c r="H52" i="10" s="1"/>
  <c r="G53" i="9"/>
  <c r="H53" i="10" s="1"/>
  <c r="G54" i="9"/>
  <c r="H54" i="10" s="1"/>
  <c r="G55" i="9"/>
  <c r="H55" i="10" s="1"/>
  <c r="G56" i="9"/>
  <c r="H56" i="10" s="1"/>
  <c r="G57" i="9"/>
  <c r="H57" i="10" s="1"/>
  <c r="G58" i="9"/>
  <c r="H58" i="10" s="1"/>
  <c r="G59" i="9"/>
  <c r="H59" i="10" s="1"/>
  <c r="G60" i="9"/>
  <c r="H60" i="10" s="1"/>
  <c r="G61" i="9"/>
  <c r="H61" i="10" s="1"/>
  <c r="G62" i="9"/>
  <c r="H62" i="10" s="1"/>
  <c r="G63" i="9"/>
  <c r="H63" i="10" s="1"/>
  <c r="G64" i="9"/>
  <c r="H64" i="10" s="1"/>
  <c r="G65" i="9"/>
  <c r="H65" i="10" s="1"/>
  <c r="G8" i="9"/>
  <c r="F9" i="9"/>
  <c r="F9" i="10" s="1"/>
  <c r="F10" i="9"/>
  <c r="F10" i="10" s="1"/>
  <c r="F11" i="9"/>
  <c r="F11" i="10" s="1"/>
  <c r="F12" i="9"/>
  <c r="F12" i="10" s="1"/>
  <c r="F13" i="9"/>
  <c r="F13" i="10" s="1"/>
  <c r="F14" i="9"/>
  <c r="F14" i="10" s="1"/>
  <c r="F15" i="9"/>
  <c r="F15" i="10" s="1"/>
  <c r="F16" i="9"/>
  <c r="F16" i="10" s="1"/>
  <c r="F17" i="9"/>
  <c r="F17" i="10" s="1"/>
  <c r="F18" i="9"/>
  <c r="F18" i="10" s="1"/>
  <c r="F19" i="9"/>
  <c r="F19" i="10" s="1"/>
  <c r="F20" i="9"/>
  <c r="F20" i="10" s="1"/>
  <c r="F21" i="9"/>
  <c r="F21" i="10" s="1"/>
  <c r="F22" i="9"/>
  <c r="F22" i="10" s="1"/>
  <c r="F23" i="9"/>
  <c r="F23" i="10" s="1"/>
  <c r="F24" i="9"/>
  <c r="F24" i="10" s="1"/>
  <c r="F25" i="9"/>
  <c r="F25" i="10" s="1"/>
  <c r="F26" i="9"/>
  <c r="F26" i="10" s="1"/>
  <c r="F27" i="9"/>
  <c r="F27" i="10" s="1"/>
  <c r="F28" i="9"/>
  <c r="F28" i="10" s="1"/>
  <c r="F29" i="9"/>
  <c r="F29" i="10" s="1"/>
  <c r="F30" i="9"/>
  <c r="F30" i="10" s="1"/>
  <c r="F31" i="9"/>
  <c r="F31" i="10" s="1"/>
  <c r="F32" i="9"/>
  <c r="F32" i="10" s="1"/>
  <c r="F33" i="9"/>
  <c r="F33" i="10" s="1"/>
  <c r="F34" i="9"/>
  <c r="F34" i="10" s="1"/>
  <c r="F35" i="9"/>
  <c r="F35" i="10" s="1"/>
  <c r="F36" i="9"/>
  <c r="F36" i="10" s="1"/>
  <c r="F37" i="9"/>
  <c r="F37" i="10" s="1"/>
  <c r="F38" i="9"/>
  <c r="F38" i="10" s="1"/>
  <c r="F39" i="9"/>
  <c r="F39" i="10" s="1"/>
  <c r="F40" i="9"/>
  <c r="F40" i="10" s="1"/>
  <c r="F41" i="9"/>
  <c r="F41" i="10" s="1"/>
  <c r="F42" i="9"/>
  <c r="F42" i="10" s="1"/>
  <c r="F43" i="9"/>
  <c r="F43" i="10" s="1"/>
  <c r="F44" i="9"/>
  <c r="F44" i="10" s="1"/>
  <c r="F45" i="9"/>
  <c r="F45" i="10" s="1"/>
  <c r="F46" i="9"/>
  <c r="F46" i="10" s="1"/>
  <c r="F47" i="9"/>
  <c r="F47" i="10" s="1"/>
  <c r="F48" i="9"/>
  <c r="F48" i="10" s="1"/>
  <c r="F49" i="9"/>
  <c r="F49" i="10" s="1"/>
  <c r="F50" i="9"/>
  <c r="F50" i="10" s="1"/>
  <c r="F51" i="9"/>
  <c r="F51" i="10" s="1"/>
  <c r="F52" i="9"/>
  <c r="F52" i="10" s="1"/>
  <c r="F53" i="9"/>
  <c r="F53" i="10" s="1"/>
  <c r="F54" i="9"/>
  <c r="F54" i="10" s="1"/>
  <c r="F55" i="9"/>
  <c r="F55" i="10" s="1"/>
  <c r="F56" i="9"/>
  <c r="F56" i="10" s="1"/>
  <c r="F57" i="9"/>
  <c r="F57" i="10" s="1"/>
  <c r="F58" i="9"/>
  <c r="F58" i="10" s="1"/>
  <c r="F59" i="9"/>
  <c r="F59" i="10" s="1"/>
  <c r="F60" i="9"/>
  <c r="F60" i="10" s="1"/>
  <c r="F61" i="9"/>
  <c r="F61" i="10" s="1"/>
  <c r="F62" i="9"/>
  <c r="F62" i="10" s="1"/>
  <c r="F63" i="9"/>
  <c r="F63" i="10" s="1"/>
  <c r="F64" i="9"/>
  <c r="F64" i="10" s="1"/>
  <c r="F65" i="9"/>
  <c r="F65" i="10" s="1"/>
  <c r="F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8" i="9"/>
  <c r="D9" i="9"/>
  <c r="D9" i="10" s="1"/>
  <c r="D10" i="9"/>
  <c r="D10" i="10" s="1"/>
  <c r="D11" i="9"/>
  <c r="D12" i="9"/>
  <c r="D12" i="10" s="1"/>
  <c r="D13" i="9"/>
  <c r="D13" i="10" s="1"/>
  <c r="D14" i="9"/>
  <c r="D14" i="10" s="1"/>
  <c r="D15" i="9"/>
  <c r="D15" i="10" s="1"/>
  <c r="D16" i="9"/>
  <c r="D16" i="10" s="1"/>
  <c r="D17" i="9"/>
  <c r="D17" i="10" s="1"/>
  <c r="D18" i="9"/>
  <c r="D18" i="10" s="1"/>
  <c r="D19" i="9"/>
  <c r="D19" i="10" s="1"/>
  <c r="D20" i="9"/>
  <c r="D20" i="10" s="1"/>
  <c r="D21" i="9"/>
  <c r="D21" i="10" s="1"/>
  <c r="D22" i="9"/>
  <c r="D22" i="10" s="1"/>
  <c r="D23" i="9"/>
  <c r="D23" i="10" s="1"/>
  <c r="D24" i="9"/>
  <c r="D24" i="10" s="1"/>
  <c r="D25" i="9"/>
  <c r="D25" i="10" s="1"/>
  <c r="D26" i="9"/>
  <c r="D26" i="10" s="1"/>
  <c r="D27" i="9"/>
  <c r="D27" i="10" s="1"/>
  <c r="D28" i="9"/>
  <c r="D28" i="10" s="1"/>
  <c r="D29" i="9"/>
  <c r="D29" i="10" s="1"/>
  <c r="D30" i="9"/>
  <c r="D30" i="10" s="1"/>
  <c r="D31" i="9"/>
  <c r="D31" i="10" s="1"/>
  <c r="D32" i="9"/>
  <c r="D32" i="10" s="1"/>
  <c r="D33" i="9"/>
  <c r="D33" i="10" s="1"/>
  <c r="D34" i="9"/>
  <c r="D34" i="10" s="1"/>
  <c r="D35" i="9"/>
  <c r="D35" i="10" s="1"/>
  <c r="D36" i="9"/>
  <c r="D36" i="10" s="1"/>
  <c r="D37" i="9"/>
  <c r="D37" i="10" s="1"/>
  <c r="D38" i="9"/>
  <c r="D38" i="10" s="1"/>
  <c r="D39" i="9"/>
  <c r="D39" i="10" s="1"/>
  <c r="D40" i="9"/>
  <c r="D40" i="10" s="1"/>
  <c r="D41" i="9"/>
  <c r="D41" i="10" s="1"/>
  <c r="D42" i="9"/>
  <c r="D42" i="10" s="1"/>
  <c r="D43" i="9"/>
  <c r="D43" i="10" s="1"/>
  <c r="D44" i="9"/>
  <c r="D44" i="10" s="1"/>
  <c r="D45" i="9"/>
  <c r="D45" i="10" s="1"/>
  <c r="D46" i="9"/>
  <c r="D46" i="10" s="1"/>
  <c r="D47" i="9"/>
  <c r="D47" i="10" s="1"/>
  <c r="D48" i="9"/>
  <c r="D48" i="10" s="1"/>
  <c r="D49" i="9"/>
  <c r="D49" i="10" s="1"/>
  <c r="D50" i="9"/>
  <c r="D50" i="10" s="1"/>
  <c r="D51" i="9"/>
  <c r="D51" i="10" s="1"/>
  <c r="D52" i="9"/>
  <c r="D52" i="10" s="1"/>
  <c r="D53" i="9"/>
  <c r="D53" i="10" s="1"/>
  <c r="D54" i="9"/>
  <c r="D54" i="10" s="1"/>
  <c r="D55" i="9"/>
  <c r="D55" i="10" s="1"/>
  <c r="D56" i="9"/>
  <c r="D56" i="10" s="1"/>
  <c r="D57" i="9"/>
  <c r="D57" i="10" s="1"/>
  <c r="D58" i="9"/>
  <c r="D58" i="10" s="1"/>
  <c r="D59" i="9"/>
  <c r="D59" i="10" s="1"/>
  <c r="D60" i="9"/>
  <c r="D60" i="10" s="1"/>
  <c r="D61" i="9"/>
  <c r="D61" i="10" s="1"/>
  <c r="D62" i="9"/>
  <c r="D62" i="10" s="1"/>
  <c r="D63" i="9"/>
  <c r="D63" i="10" s="1"/>
  <c r="D64" i="9"/>
  <c r="D64" i="10" s="1"/>
  <c r="D65" i="9"/>
  <c r="D65" i="10" s="1"/>
  <c r="D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8" i="9"/>
  <c r="L83" i="8"/>
  <c r="L84" i="8"/>
  <c r="L85" i="8"/>
  <c r="L86" i="8"/>
  <c r="L87" i="8"/>
  <c r="L88" i="8"/>
  <c r="L89" i="8"/>
  <c r="L90" i="8"/>
  <c r="L91" i="8"/>
  <c r="L92" i="8"/>
  <c r="L82" i="8"/>
  <c r="L69" i="8"/>
  <c r="M69" i="8" s="1"/>
  <c r="L70" i="8"/>
  <c r="L71" i="8"/>
  <c r="L72" i="8"/>
  <c r="L73" i="8"/>
  <c r="M73" i="8" s="1"/>
  <c r="L74" i="8"/>
  <c r="L75" i="8"/>
  <c r="L76" i="8"/>
  <c r="L77" i="8"/>
  <c r="M77" i="8" s="1"/>
  <c r="L78" i="8"/>
  <c r="L79" i="8"/>
  <c r="L68" i="8"/>
  <c r="L9" i="8"/>
  <c r="M9" i="8" s="1"/>
  <c r="L10" i="8"/>
  <c r="L11" i="8"/>
  <c r="L12" i="8"/>
  <c r="L13" i="8"/>
  <c r="M13" i="8" s="1"/>
  <c r="L14" i="8"/>
  <c r="L15" i="8"/>
  <c r="L16" i="8"/>
  <c r="L17" i="8"/>
  <c r="M17" i="8" s="1"/>
  <c r="L18" i="8"/>
  <c r="L19" i="8"/>
  <c r="L20" i="8"/>
  <c r="L21" i="8"/>
  <c r="M21" i="8" s="1"/>
  <c r="L22" i="8"/>
  <c r="L23" i="8"/>
  <c r="L24" i="8"/>
  <c r="L25" i="8"/>
  <c r="M25" i="8" s="1"/>
  <c r="L26" i="8"/>
  <c r="L27" i="8"/>
  <c r="L28" i="8"/>
  <c r="L29" i="8"/>
  <c r="M29" i="8" s="1"/>
  <c r="L30" i="8"/>
  <c r="L31" i="8"/>
  <c r="L32" i="8"/>
  <c r="L33" i="8"/>
  <c r="M33" i="8" s="1"/>
  <c r="L34" i="8"/>
  <c r="L35" i="8"/>
  <c r="L36" i="8"/>
  <c r="L37" i="8"/>
  <c r="M37" i="8" s="1"/>
  <c r="L38" i="8"/>
  <c r="L39" i="8"/>
  <c r="L40" i="8"/>
  <c r="L41" i="8"/>
  <c r="M41" i="8" s="1"/>
  <c r="L42" i="8"/>
  <c r="L43" i="8"/>
  <c r="L44" i="8"/>
  <c r="L45" i="8"/>
  <c r="M45" i="8" s="1"/>
  <c r="L46" i="8"/>
  <c r="L47" i="8"/>
  <c r="L48" i="8"/>
  <c r="L49" i="8"/>
  <c r="M49" i="8" s="1"/>
  <c r="L50" i="8"/>
  <c r="L51" i="8"/>
  <c r="L52" i="8"/>
  <c r="L53" i="8"/>
  <c r="M53" i="8" s="1"/>
  <c r="L54" i="8"/>
  <c r="L55" i="8"/>
  <c r="L56" i="8"/>
  <c r="L57" i="8"/>
  <c r="M57" i="8" s="1"/>
  <c r="L58" i="8"/>
  <c r="L59" i="8"/>
  <c r="L60" i="8"/>
  <c r="L61" i="8"/>
  <c r="L62" i="8"/>
  <c r="L63" i="8"/>
  <c r="L64" i="8"/>
  <c r="L65" i="8"/>
  <c r="L8" i="8"/>
  <c r="I83" i="8"/>
  <c r="K83" i="8" s="1"/>
  <c r="I84" i="8"/>
  <c r="I85" i="8"/>
  <c r="I86" i="8"/>
  <c r="I87" i="8"/>
  <c r="I88" i="8"/>
  <c r="I89" i="8"/>
  <c r="I90" i="8"/>
  <c r="I91" i="8"/>
  <c r="I92" i="8"/>
  <c r="I82" i="8"/>
  <c r="K82" i="8" s="1"/>
  <c r="I69" i="8"/>
  <c r="K69" i="8" s="1"/>
  <c r="I70" i="8"/>
  <c r="I71" i="8"/>
  <c r="K71" i="8" s="1"/>
  <c r="I72" i="8"/>
  <c r="I73" i="8"/>
  <c r="K73" i="8" s="1"/>
  <c r="I74" i="8"/>
  <c r="I75" i="8"/>
  <c r="K75" i="8" s="1"/>
  <c r="I76" i="8"/>
  <c r="I77" i="8"/>
  <c r="K77" i="8" s="1"/>
  <c r="I78" i="8"/>
  <c r="I79" i="8"/>
  <c r="K79" i="8" s="1"/>
  <c r="I68" i="8"/>
  <c r="I9" i="8"/>
  <c r="K9" i="8" s="1"/>
  <c r="I10" i="8"/>
  <c r="I11" i="8"/>
  <c r="K11" i="8" s="1"/>
  <c r="I12" i="8"/>
  <c r="I13" i="8"/>
  <c r="K13" i="8" s="1"/>
  <c r="I14" i="8"/>
  <c r="I15" i="8"/>
  <c r="K15" i="8" s="1"/>
  <c r="I16" i="8"/>
  <c r="I17" i="8"/>
  <c r="K17" i="8" s="1"/>
  <c r="I18" i="8"/>
  <c r="I19" i="8"/>
  <c r="K19" i="8" s="1"/>
  <c r="I20" i="8"/>
  <c r="I21" i="8"/>
  <c r="K21" i="8" s="1"/>
  <c r="I22" i="8"/>
  <c r="I23" i="8"/>
  <c r="K23" i="8" s="1"/>
  <c r="I24" i="8"/>
  <c r="I25" i="8"/>
  <c r="K25" i="8" s="1"/>
  <c r="I26" i="8"/>
  <c r="I27" i="8"/>
  <c r="K27" i="8" s="1"/>
  <c r="I28" i="8"/>
  <c r="I29" i="8"/>
  <c r="K29" i="8" s="1"/>
  <c r="I30" i="8"/>
  <c r="I31" i="8"/>
  <c r="K31" i="8" s="1"/>
  <c r="I32" i="8"/>
  <c r="I33" i="8"/>
  <c r="K33" i="8" s="1"/>
  <c r="I34" i="8"/>
  <c r="I35" i="8"/>
  <c r="K35" i="8" s="1"/>
  <c r="I36" i="8"/>
  <c r="I37" i="8"/>
  <c r="K37" i="8" s="1"/>
  <c r="I38" i="8"/>
  <c r="I39" i="8"/>
  <c r="K39" i="8" s="1"/>
  <c r="I40" i="8"/>
  <c r="I41" i="8"/>
  <c r="K41" i="8" s="1"/>
  <c r="I42" i="8"/>
  <c r="I43" i="8"/>
  <c r="K43" i="8" s="1"/>
  <c r="I44" i="8"/>
  <c r="I45" i="8"/>
  <c r="K45" i="8" s="1"/>
  <c r="I46" i="8"/>
  <c r="I47" i="8"/>
  <c r="K47" i="8" s="1"/>
  <c r="I48" i="8"/>
  <c r="I49" i="8"/>
  <c r="K49" i="8" s="1"/>
  <c r="I50" i="8"/>
  <c r="I51" i="8"/>
  <c r="K51" i="8" s="1"/>
  <c r="I52" i="8"/>
  <c r="I53" i="8"/>
  <c r="K53" i="8" s="1"/>
  <c r="I54" i="8"/>
  <c r="I55" i="8"/>
  <c r="K55" i="8" s="1"/>
  <c r="I56" i="8"/>
  <c r="I57" i="8"/>
  <c r="K57" i="8" s="1"/>
  <c r="I58" i="8"/>
  <c r="I59" i="8"/>
  <c r="K59" i="8" s="1"/>
  <c r="I60" i="8"/>
  <c r="I61" i="8"/>
  <c r="K61" i="8" s="1"/>
  <c r="I62" i="8"/>
  <c r="I63" i="8"/>
  <c r="K63" i="8" s="1"/>
  <c r="I64" i="8"/>
  <c r="I65" i="8"/>
  <c r="K65" i="8" s="1"/>
  <c r="I8" i="8"/>
  <c r="F83" i="8"/>
  <c r="H83" i="8" s="1"/>
  <c r="F84" i="8"/>
  <c r="F85" i="8"/>
  <c r="F86" i="8"/>
  <c r="F87" i="8"/>
  <c r="F88" i="8"/>
  <c r="F89" i="8"/>
  <c r="F90" i="8"/>
  <c r="F91" i="8"/>
  <c r="F92" i="8"/>
  <c r="F82" i="8"/>
  <c r="H82" i="8" s="1"/>
  <c r="F69" i="8"/>
  <c r="F70" i="8"/>
  <c r="H70" i="8" s="1"/>
  <c r="F71" i="8"/>
  <c r="F72" i="8"/>
  <c r="H72" i="8" s="1"/>
  <c r="F73" i="8"/>
  <c r="F74" i="8"/>
  <c r="H74" i="8" s="1"/>
  <c r="F75" i="8"/>
  <c r="F76" i="8"/>
  <c r="H76" i="8" s="1"/>
  <c r="F77" i="8"/>
  <c r="F78" i="8"/>
  <c r="H78" i="8" s="1"/>
  <c r="F79" i="8"/>
  <c r="F68" i="8"/>
  <c r="H68" i="8" s="1"/>
  <c r="F9" i="8"/>
  <c r="F10" i="8"/>
  <c r="H10" i="8" s="1"/>
  <c r="F11" i="8"/>
  <c r="F12" i="8"/>
  <c r="H12" i="8" s="1"/>
  <c r="F13" i="8"/>
  <c r="F14" i="8"/>
  <c r="H14" i="8" s="1"/>
  <c r="F15" i="8"/>
  <c r="F16" i="8"/>
  <c r="H16" i="8" s="1"/>
  <c r="F17" i="8"/>
  <c r="F18" i="8"/>
  <c r="H18" i="8" s="1"/>
  <c r="F19" i="8"/>
  <c r="F20" i="8"/>
  <c r="H20" i="8" s="1"/>
  <c r="F21" i="8"/>
  <c r="F22" i="8"/>
  <c r="H22" i="8" s="1"/>
  <c r="F23" i="8"/>
  <c r="F24" i="8"/>
  <c r="H24" i="8" s="1"/>
  <c r="F25" i="8"/>
  <c r="F26" i="8"/>
  <c r="H26" i="8" s="1"/>
  <c r="F27" i="8"/>
  <c r="F28" i="8"/>
  <c r="H28" i="8" s="1"/>
  <c r="F29" i="8"/>
  <c r="F30" i="8"/>
  <c r="H30" i="8" s="1"/>
  <c r="F31" i="8"/>
  <c r="F32" i="8"/>
  <c r="H32" i="8" s="1"/>
  <c r="F33" i="8"/>
  <c r="F34" i="8"/>
  <c r="H34" i="8" s="1"/>
  <c r="F35" i="8"/>
  <c r="F36" i="8"/>
  <c r="H36" i="8" s="1"/>
  <c r="F37" i="8"/>
  <c r="F38" i="8"/>
  <c r="H38" i="8" s="1"/>
  <c r="F39" i="8"/>
  <c r="F40" i="8"/>
  <c r="H40" i="8" s="1"/>
  <c r="F41" i="8"/>
  <c r="F42" i="8"/>
  <c r="H42" i="8" s="1"/>
  <c r="F43" i="8"/>
  <c r="F44" i="8"/>
  <c r="H44" i="8" s="1"/>
  <c r="F45" i="8"/>
  <c r="F46" i="8"/>
  <c r="H46" i="8" s="1"/>
  <c r="F47" i="8"/>
  <c r="F48" i="8"/>
  <c r="H48" i="8" s="1"/>
  <c r="F49" i="8"/>
  <c r="F50" i="8"/>
  <c r="H50" i="8" s="1"/>
  <c r="F51" i="8"/>
  <c r="F52" i="8"/>
  <c r="H52" i="8" s="1"/>
  <c r="F53" i="8"/>
  <c r="F54" i="8"/>
  <c r="H54" i="8" s="1"/>
  <c r="F55" i="8"/>
  <c r="F56" i="8"/>
  <c r="H56" i="8" s="1"/>
  <c r="F57" i="8"/>
  <c r="F58" i="8"/>
  <c r="H58" i="8" s="1"/>
  <c r="F59" i="8"/>
  <c r="F60" i="8"/>
  <c r="H60" i="8" s="1"/>
  <c r="F61" i="8"/>
  <c r="F62" i="8"/>
  <c r="H62" i="8" s="1"/>
  <c r="F63" i="8"/>
  <c r="F64" i="8"/>
  <c r="H64" i="8" s="1"/>
  <c r="F65" i="8"/>
  <c r="F8" i="8"/>
  <c r="H8" i="8" s="1"/>
  <c r="C83" i="8"/>
  <c r="E83" i="8" s="1"/>
  <c r="C84" i="8"/>
  <c r="C85" i="8"/>
  <c r="C86" i="8"/>
  <c r="C87" i="8"/>
  <c r="C88" i="8"/>
  <c r="C89" i="8"/>
  <c r="C90" i="8"/>
  <c r="C91" i="8"/>
  <c r="C92" i="8"/>
  <c r="C82" i="8"/>
  <c r="E82" i="8" s="1"/>
  <c r="C69" i="8"/>
  <c r="C70" i="8"/>
  <c r="E70" i="8" s="1"/>
  <c r="C71" i="8"/>
  <c r="C72" i="8"/>
  <c r="E72" i="8" s="1"/>
  <c r="C73" i="8"/>
  <c r="C74" i="8"/>
  <c r="E74" i="8" s="1"/>
  <c r="C75" i="8"/>
  <c r="C76" i="8"/>
  <c r="E76" i="8" s="1"/>
  <c r="C77" i="8"/>
  <c r="C78" i="8"/>
  <c r="E78" i="8" s="1"/>
  <c r="C79" i="8"/>
  <c r="C68" i="8"/>
  <c r="E68" i="8" s="1"/>
  <c r="C9" i="8"/>
  <c r="C10" i="8"/>
  <c r="E10" i="8" s="1"/>
  <c r="C11" i="8"/>
  <c r="C12" i="8"/>
  <c r="E12" i="8" s="1"/>
  <c r="C13" i="8"/>
  <c r="C14" i="8"/>
  <c r="E14" i="8" s="1"/>
  <c r="C15" i="8"/>
  <c r="C16" i="8"/>
  <c r="E16" i="8" s="1"/>
  <c r="C17" i="8"/>
  <c r="C18" i="8"/>
  <c r="E18" i="8" s="1"/>
  <c r="C19" i="8"/>
  <c r="C20" i="8"/>
  <c r="E20" i="8" s="1"/>
  <c r="C21" i="8"/>
  <c r="C22" i="8"/>
  <c r="E22" i="8" s="1"/>
  <c r="C23" i="8"/>
  <c r="C24" i="8"/>
  <c r="E24" i="8" s="1"/>
  <c r="C25" i="8"/>
  <c r="C26" i="8"/>
  <c r="E26" i="8" s="1"/>
  <c r="C27" i="8"/>
  <c r="C28" i="8"/>
  <c r="E28" i="8" s="1"/>
  <c r="C29" i="8"/>
  <c r="C30" i="8"/>
  <c r="E30" i="8" s="1"/>
  <c r="C31" i="8"/>
  <c r="C32" i="8"/>
  <c r="E32" i="8" s="1"/>
  <c r="C33" i="8"/>
  <c r="C34" i="8"/>
  <c r="E34" i="8" s="1"/>
  <c r="C35" i="8"/>
  <c r="C36" i="8"/>
  <c r="E36" i="8" s="1"/>
  <c r="C37" i="8"/>
  <c r="C38" i="8"/>
  <c r="E38" i="8" s="1"/>
  <c r="C39" i="8"/>
  <c r="C40" i="8"/>
  <c r="E40" i="8" s="1"/>
  <c r="C41" i="8"/>
  <c r="C42" i="8"/>
  <c r="E42" i="8" s="1"/>
  <c r="C43" i="8"/>
  <c r="C44" i="8"/>
  <c r="E44" i="8" s="1"/>
  <c r="C45" i="8"/>
  <c r="C46" i="8"/>
  <c r="E46" i="8" s="1"/>
  <c r="C47" i="8"/>
  <c r="C48" i="8"/>
  <c r="E48" i="8" s="1"/>
  <c r="C49" i="8"/>
  <c r="C50" i="8"/>
  <c r="E50" i="8" s="1"/>
  <c r="C51" i="8"/>
  <c r="C52" i="8"/>
  <c r="E52" i="8" s="1"/>
  <c r="C53" i="8"/>
  <c r="C54" i="8"/>
  <c r="E54" i="8" s="1"/>
  <c r="C55" i="8"/>
  <c r="C56" i="8"/>
  <c r="E56" i="8" s="1"/>
  <c r="C57" i="8"/>
  <c r="C58" i="8"/>
  <c r="E58" i="8" s="1"/>
  <c r="C59" i="8"/>
  <c r="C60" i="8"/>
  <c r="E60" i="8" s="1"/>
  <c r="C61" i="8"/>
  <c r="C62" i="8"/>
  <c r="E62" i="8" s="1"/>
  <c r="C63" i="8"/>
  <c r="C64" i="8"/>
  <c r="E64" i="8" s="1"/>
  <c r="C65" i="8"/>
  <c r="C8" i="8"/>
  <c r="E8" i="8" s="1"/>
  <c r="O90" i="16" l="1"/>
  <c r="E66" i="11"/>
  <c r="I66" i="11"/>
  <c r="E80" i="11"/>
  <c r="K63" i="12"/>
  <c r="K55" i="12"/>
  <c r="K51" i="12"/>
  <c r="K47" i="12"/>
  <c r="K43" i="12"/>
  <c r="K39" i="12"/>
  <c r="K35" i="12"/>
  <c r="K31" i="12"/>
  <c r="K23" i="12"/>
  <c r="K19" i="12"/>
  <c r="K15" i="12"/>
  <c r="K11" i="12"/>
  <c r="K79" i="12"/>
  <c r="K75" i="12"/>
  <c r="K71" i="12"/>
  <c r="K92" i="12"/>
  <c r="K88" i="12"/>
  <c r="K84" i="12"/>
  <c r="C89" i="10"/>
  <c r="E87" i="10"/>
  <c r="C85" i="10"/>
  <c r="K65" i="12"/>
  <c r="K61" i="12"/>
  <c r="Q90" i="16"/>
  <c r="N90" i="16"/>
  <c r="H80" i="11"/>
  <c r="Q88" i="16"/>
  <c r="P87" i="16"/>
  <c r="F93" i="14"/>
  <c r="K91" i="12"/>
  <c r="K87" i="12"/>
  <c r="O83" i="16"/>
  <c r="D60" i="12"/>
  <c r="K64" i="12"/>
  <c r="K60" i="12"/>
  <c r="K56" i="12"/>
  <c r="K52" i="12"/>
  <c r="K48" i="12"/>
  <c r="K44" i="12"/>
  <c r="K40" i="12"/>
  <c r="K36" i="12"/>
  <c r="K32" i="12"/>
  <c r="K28" i="12"/>
  <c r="K24" i="12"/>
  <c r="K20" i="12"/>
  <c r="K16" i="12"/>
  <c r="K12" i="12"/>
  <c r="K76" i="12"/>
  <c r="K72" i="12"/>
  <c r="K89" i="12"/>
  <c r="K85" i="12"/>
  <c r="K66" i="13"/>
  <c r="N92" i="16"/>
  <c r="P91" i="16"/>
  <c r="O89" i="16"/>
  <c r="P89" i="16"/>
  <c r="Q85" i="16"/>
  <c r="N85" i="16"/>
  <c r="P83" i="16"/>
  <c r="M43" i="8"/>
  <c r="C56" i="10"/>
  <c r="C48" i="10"/>
  <c r="C36" i="10"/>
  <c r="C28" i="10"/>
  <c r="C16" i="10"/>
  <c r="E64" i="10"/>
  <c r="E52" i="10"/>
  <c r="E44" i="10"/>
  <c r="E32" i="10"/>
  <c r="E24" i="10"/>
  <c r="E78" i="10"/>
  <c r="H65" i="12"/>
  <c r="H54" i="12"/>
  <c r="C64" i="10"/>
  <c r="C60" i="10"/>
  <c r="C52" i="10"/>
  <c r="C44" i="10"/>
  <c r="C40" i="10"/>
  <c r="C32" i="10"/>
  <c r="C24" i="10"/>
  <c r="C20" i="10"/>
  <c r="C12" i="10"/>
  <c r="E60" i="10"/>
  <c r="E56" i="10"/>
  <c r="E48" i="10"/>
  <c r="E40" i="10"/>
  <c r="E36" i="10"/>
  <c r="E28" i="10"/>
  <c r="E20" i="10"/>
  <c r="E16" i="10"/>
  <c r="E12" i="10"/>
  <c r="H62" i="12"/>
  <c r="C66" i="13"/>
  <c r="L80" i="13"/>
  <c r="Q83" i="16"/>
  <c r="M93" i="11"/>
  <c r="N80" i="11"/>
  <c r="H57" i="12"/>
  <c r="D8" i="12"/>
  <c r="G8" i="12"/>
  <c r="C8" i="12"/>
  <c r="M51" i="8"/>
  <c r="M35" i="8"/>
  <c r="M75" i="8"/>
  <c r="M61" i="8"/>
  <c r="M19" i="8"/>
  <c r="M11" i="8"/>
  <c r="K59" i="12"/>
  <c r="M59" i="8"/>
  <c r="K27" i="12"/>
  <c r="M27" i="8"/>
  <c r="E66" i="13"/>
  <c r="H63" i="12"/>
  <c r="D58" i="12"/>
  <c r="H55" i="12"/>
  <c r="M66" i="13"/>
  <c r="C59" i="10"/>
  <c r="C43" i="10"/>
  <c r="C66" i="11"/>
  <c r="K66" i="11"/>
  <c r="G80" i="11"/>
  <c r="H64" i="12"/>
  <c r="H59" i="12"/>
  <c r="H56" i="12"/>
  <c r="D93" i="13"/>
  <c r="C51" i="10"/>
  <c r="C35" i="10"/>
  <c r="C27" i="10"/>
  <c r="C19" i="10"/>
  <c r="K68" i="12"/>
  <c r="K82" i="12"/>
  <c r="E66" i="9"/>
  <c r="E58" i="10"/>
  <c r="E50" i="10"/>
  <c r="E42" i="10"/>
  <c r="E34" i="10"/>
  <c r="E26" i="10"/>
  <c r="E18" i="10"/>
  <c r="E14" i="10"/>
  <c r="G66" i="9"/>
  <c r="J66" i="9"/>
  <c r="L66" i="9"/>
  <c r="E76" i="10"/>
  <c r="D75" i="10"/>
  <c r="E72" i="10"/>
  <c r="D71" i="10"/>
  <c r="E82" i="10"/>
  <c r="C91" i="10"/>
  <c r="D90" i="10"/>
  <c r="E89" i="10"/>
  <c r="C87" i="10"/>
  <c r="D86" i="10"/>
  <c r="E85" i="10"/>
  <c r="C83" i="10"/>
  <c r="H61" i="12"/>
  <c r="H53" i="12"/>
  <c r="K93" i="16"/>
  <c r="P84" i="16"/>
  <c r="P90" i="16"/>
  <c r="O88" i="16"/>
  <c r="O86" i="16"/>
  <c r="Q84" i="16"/>
  <c r="N84" i="16"/>
  <c r="K93" i="13"/>
  <c r="P92" i="16"/>
  <c r="Q91" i="16"/>
  <c r="O91" i="16"/>
  <c r="Q89" i="16"/>
  <c r="N89" i="16"/>
  <c r="Q87" i="16"/>
  <c r="N87" i="16"/>
  <c r="E63" i="8"/>
  <c r="E55" i="8"/>
  <c r="E47" i="8"/>
  <c r="E43" i="8"/>
  <c r="E35" i="8"/>
  <c r="E27" i="8"/>
  <c r="E19" i="8"/>
  <c r="E79" i="8"/>
  <c r="E71" i="8"/>
  <c r="H59" i="8"/>
  <c r="H51" i="8"/>
  <c r="H39" i="8"/>
  <c r="H31" i="8"/>
  <c r="H23" i="8"/>
  <c r="H15" i="8"/>
  <c r="H11" i="8"/>
  <c r="H75" i="8"/>
  <c r="K62" i="8"/>
  <c r="K54" i="8"/>
  <c r="K46" i="8"/>
  <c r="K42" i="8"/>
  <c r="K34" i="8"/>
  <c r="K26" i="8"/>
  <c r="K18" i="8"/>
  <c r="K14" i="8"/>
  <c r="K10" i="8"/>
  <c r="E61" i="8"/>
  <c r="E53" i="8"/>
  <c r="E45" i="8"/>
  <c r="E41" i="8"/>
  <c r="E33" i="8"/>
  <c r="E25" i="8"/>
  <c r="E21" i="8"/>
  <c r="E17" i="8"/>
  <c r="E13" i="8"/>
  <c r="E9" i="8"/>
  <c r="E77" i="8"/>
  <c r="E73" i="8"/>
  <c r="E69" i="8"/>
  <c r="H65" i="8"/>
  <c r="H61" i="8"/>
  <c r="H57" i="8"/>
  <c r="H53" i="8"/>
  <c r="H49" i="8"/>
  <c r="H45" i="8"/>
  <c r="H41" i="8"/>
  <c r="H37" i="8"/>
  <c r="H33" i="8"/>
  <c r="H29" i="8"/>
  <c r="H25" i="8"/>
  <c r="H21" i="8"/>
  <c r="H17" i="8"/>
  <c r="H13" i="8"/>
  <c r="H9" i="8"/>
  <c r="H77" i="8"/>
  <c r="H73" i="8"/>
  <c r="H69" i="8"/>
  <c r="E59" i="8"/>
  <c r="E51" i="8"/>
  <c r="E39" i="8"/>
  <c r="E31" i="8"/>
  <c r="E23" i="8"/>
  <c r="E15" i="8"/>
  <c r="E11" i="8"/>
  <c r="E75" i="8"/>
  <c r="H63" i="8"/>
  <c r="H55" i="8"/>
  <c r="H47" i="8"/>
  <c r="H43" i="8"/>
  <c r="H35" i="8"/>
  <c r="H27" i="8"/>
  <c r="H19" i="8"/>
  <c r="H79" i="8"/>
  <c r="H71" i="8"/>
  <c r="G32" i="17"/>
  <c r="I66" i="8"/>
  <c r="K8" i="8"/>
  <c r="K58" i="8"/>
  <c r="K50" i="8"/>
  <c r="K38" i="8"/>
  <c r="K30" i="8"/>
  <c r="K22" i="8"/>
  <c r="K78" i="8"/>
  <c r="K74" i="8"/>
  <c r="K70" i="8"/>
  <c r="E65" i="8"/>
  <c r="E57" i="8"/>
  <c r="E49" i="8"/>
  <c r="E37" i="8"/>
  <c r="E29" i="8"/>
  <c r="K64" i="8"/>
  <c r="K60" i="8"/>
  <c r="K56" i="8"/>
  <c r="K52" i="8"/>
  <c r="K48" i="8"/>
  <c r="K44" i="8"/>
  <c r="K40" i="8"/>
  <c r="K36" i="8"/>
  <c r="K32" i="8"/>
  <c r="K28" i="8"/>
  <c r="K24" i="8"/>
  <c r="K20" i="8"/>
  <c r="K16" i="8"/>
  <c r="K12" i="8"/>
  <c r="K68" i="8"/>
  <c r="K76" i="8"/>
  <c r="K72" i="8"/>
  <c r="K8" i="12"/>
  <c r="M8" i="8"/>
  <c r="K62" i="12"/>
  <c r="M62" i="8"/>
  <c r="K58" i="12"/>
  <c r="M58" i="8"/>
  <c r="K54" i="12"/>
  <c r="M54" i="8"/>
  <c r="K50" i="12"/>
  <c r="M50" i="8"/>
  <c r="K46" i="12"/>
  <c r="M46" i="8"/>
  <c r="K42" i="12"/>
  <c r="M42" i="8"/>
  <c r="K38" i="12"/>
  <c r="M38" i="8"/>
  <c r="K34" i="12"/>
  <c r="M34" i="8"/>
  <c r="K30" i="12"/>
  <c r="M30" i="8"/>
  <c r="K26" i="12"/>
  <c r="M26" i="8"/>
  <c r="K22" i="12"/>
  <c r="M22" i="8"/>
  <c r="K18" i="12"/>
  <c r="M18" i="8"/>
  <c r="K14" i="12"/>
  <c r="M14" i="8"/>
  <c r="K10" i="12"/>
  <c r="M10" i="8"/>
  <c r="K78" i="12"/>
  <c r="M78" i="8"/>
  <c r="K74" i="12"/>
  <c r="M74" i="8"/>
  <c r="K70" i="12"/>
  <c r="M70" i="8"/>
  <c r="M83" i="8"/>
  <c r="K83" i="12"/>
  <c r="M56" i="8"/>
  <c r="M40" i="8"/>
  <c r="M24" i="8"/>
  <c r="M68" i="8"/>
  <c r="D8" i="10"/>
  <c r="D66" i="9"/>
  <c r="F8" i="10"/>
  <c r="F66" i="10" s="1"/>
  <c r="F66" i="9"/>
  <c r="I66" i="9"/>
  <c r="K66" i="9"/>
  <c r="G8" i="10"/>
  <c r="G66" i="10" s="1"/>
  <c r="H8" i="10"/>
  <c r="H66" i="10" s="1"/>
  <c r="M80" i="13"/>
  <c r="O82" i="16"/>
  <c r="E93" i="16"/>
  <c r="J93" i="16"/>
  <c r="C32" i="17"/>
  <c r="C66" i="8"/>
  <c r="M65" i="8"/>
  <c r="M60" i="8"/>
  <c r="M55" i="8"/>
  <c r="M44" i="8"/>
  <c r="M39" i="8"/>
  <c r="M28" i="8"/>
  <c r="M23" i="8"/>
  <c r="M12" i="8"/>
  <c r="M79" i="8"/>
  <c r="M82" i="8"/>
  <c r="G66" i="11"/>
  <c r="E14" i="17"/>
  <c r="E65" i="12"/>
  <c r="C65" i="12"/>
  <c r="G65" i="12"/>
  <c r="E64" i="12"/>
  <c r="C64" i="12"/>
  <c r="G64" i="12"/>
  <c r="E63" i="12"/>
  <c r="C63" i="12"/>
  <c r="G63" i="12"/>
  <c r="E62" i="12"/>
  <c r="C62" i="12"/>
  <c r="G62" i="12"/>
  <c r="E61" i="12"/>
  <c r="C61" i="12"/>
  <c r="G61" i="12"/>
  <c r="E60" i="12"/>
  <c r="C60" i="12"/>
  <c r="G60" i="12"/>
  <c r="E59" i="12"/>
  <c r="C59" i="12"/>
  <c r="G59" i="12"/>
  <c r="E58" i="12"/>
  <c r="C58" i="12"/>
  <c r="G58" i="12"/>
  <c r="E57" i="12"/>
  <c r="C57" i="12"/>
  <c r="G57" i="12"/>
  <c r="E56" i="12"/>
  <c r="C56" i="12"/>
  <c r="G56" i="12"/>
  <c r="E55" i="12"/>
  <c r="C55" i="12"/>
  <c r="G55" i="12"/>
  <c r="E54" i="12"/>
  <c r="C54" i="12"/>
  <c r="G54" i="12"/>
  <c r="E53" i="12"/>
  <c r="C53" i="12"/>
  <c r="G53" i="12"/>
  <c r="F52" i="12"/>
  <c r="J52" i="12"/>
  <c r="C52" i="12"/>
  <c r="H52" i="12"/>
  <c r="E52" i="12"/>
  <c r="F51" i="12"/>
  <c r="J51" i="12"/>
  <c r="E51" i="12"/>
  <c r="C51" i="12"/>
  <c r="H51" i="12"/>
  <c r="F50" i="12"/>
  <c r="J50" i="12"/>
  <c r="C50" i="12"/>
  <c r="H50" i="12"/>
  <c r="E50" i="12"/>
  <c r="F49" i="12"/>
  <c r="J49" i="12"/>
  <c r="E49" i="12"/>
  <c r="C49" i="12"/>
  <c r="H49" i="12"/>
  <c r="F48" i="12"/>
  <c r="J48" i="12"/>
  <c r="C48" i="12"/>
  <c r="H48" i="12"/>
  <c r="E48" i="12"/>
  <c r="F47" i="12"/>
  <c r="J47" i="12"/>
  <c r="E47" i="12"/>
  <c r="C47" i="12"/>
  <c r="H47" i="12"/>
  <c r="F46" i="12"/>
  <c r="J46" i="12"/>
  <c r="C46" i="12"/>
  <c r="H46" i="12"/>
  <c r="E46" i="12"/>
  <c r="F45" i="12"/>
  <c r="J45" i="12"/>
  <c r="E45" i="12"/>
  <c r="C45" i="12"/>
  <c r="H45" i="12"/>
  <c r="F44" i="12"/>
  <c r="J44" i="12"/>
  <c r="C44" i="12"/>
  <c r="H44" i="12"/>
  <c r="E44" i="12"/>
  <c r="F43" i="12"/>
  <c r="J43" i="12"/>
  <c r="E43" i="12"/>
  <c r="C43" i="12"/>
  <c r="H43" i="12"/>
  <c r="F42" i="12"/>
  <c r="J42" i="12"/>
  <c r="C42" i="12"/>
  <c r="H42" i="12"/>
  <c r="E42" i="12"/>
  <c r="F41" i="12"/>
  <c r="J41" i="12"/>
  <c r="E41" i="12"/>
  <c r="C41" i="12"/>
  <c r="H41" i="12"/>
  <c r="F40" i="12"/>
  <c r="J40" i="12"/>
  <c r="C40" i="12"/>
  <c r="H40" i="12"/>
  <c r="E40" i="12"/>
  <c r="F39" i="12"/>
  <c r="J39" i="12"/>
  <c r="E39" i="12"/>
  <c r="C39" i="12"/>
  <c r="H39" i="12"/>
  <c r="D38" i="12"/>
  <c r="F38" i="12"/>
  <c r="J38" i="12"/>
  <c r="H38" i="12"/>
  <c r="E38" i="12"/>
  <c r="D37" i="12"/>
  <c r="H37" i="12"/>
  <c r="F37" i="12"/>
  <c r="J37" i="12"/>
  <c r="E37" i="12"/>
  <c r="D36" i="12"/>
  <c r="H36" i="12"/>
  <c r="F36" i="12"/>
  <c r="J36" i="12"/>
  <c r="E36" i="12"/>
  <c r="D35" i="12"/>
  <c r="H35" i="12"/>
  <c r="F35" i="12"/>
  <c r="J35" i="12"/>
  <c r="E35" i="12"/>
  <c r="D34" i="12"/>
  <c r="H34" i="12"/>
  <c r="F34" i="12"/>
  <c r="J34" i="12"/>
  <c r="E34" i="12"/>
  <c r="D33" i="12"/>
  <c r="H33" i="12"/>
  <c r="F33" i="12"/>
  <c r="J33" i="12"/>
  <c r="E33" i="12"/>
  <c r="D32" i="12"/>
  <c r="H32" i="12"/>
  <c r="F32" i="12"/>
  <c r="J32" i="12"/>
  <c r="E32" i="12"/>
  <c r="D31" i="12"/>
  <c r="H31" i="12"/>
  <c r="F31" i="12"/>
  <c r="J31" i="12"/>
  <c r="E31" i="12"/>
  <c r="D30" i="12"/>
  <c r="H30" i="12"/>
  <c r="F30" i="12"/>
  <c r="J30" i="12"/>
  <c r="E30" i="12"/>
  <c r="F29" i="12"/>
  <c r="D29" i="12"/>
  <c r="H29" i="12"/>
  <c r="E29" i="12"/>
  <c r="J29" i="12"/>
  <c r="C29" i="12"/>
  <c r="F28" i="12"/>
  <c r="J28" i="12"/>
  <c r="D28" i="12"/>
  <c r="H28" i="12"/>
  <c r="E28" i="12"/>
  <c r="C28" i="12"/>
  <c r="F27" i="12"/>
  <c r="J27" i="12"/>
  <c r="D27" i="12"/>
  <c r="H27" i="12"/>
  <c r="E27" i="12"/>
  <c r="C27" i="12"/>
  <c r="F26" i="12"/>
  <c r="J26" i="12"/>
  <c r="D26" i="12"/>
  <c r="H26" i="12"/>
  <c r="E26" i="12"/>
  <c r="C26" i="12"/>
  <c r="F25" i="12"/>
  <c r="J25" i="12"/>
  <c r="D25" i="12"/>
  <c r="H25" i="12"/>
  <c r="E25" i="12"/>
  <c r="C25" i="12"/>
  <c r="F24" i="12"/>
  <c r="J24" i="12"/>
  <c r="D24" i="12"/>
  <c r="H24" i="12"/>
  <c r="E24" i="12"/>
  <c r="C24" i="12"/>
  <c r="F23" i="12"/>
  <c r="J23" i="12"/>
  <c r="D23" i="12"/>
  <c r="H23" i="12"/>
  <c r="E23" i="12"/>
  <c r="C23" i="12"/>
  <c r="F22" i="12"/>
  <c r="J22" i="12"/>
  <c r="D22" i="12"/>
  <c r="H22" i="12"/>
  <c r="E22" i="12"/>
  <c r="C22" i="12"/>
  <c r="F21" i="12"/>
  <c r="J21" i="12"/>
  <c r="D21" i="12"/>
  <c r="H21" i="12"/>
  <c r="E21" i="12"/>
  <c r="C21" i="12"/>
  <c r="F20" i="12"/>
  <c r="J20" i="12"/>
  <c r="D20" i="12"/>
  <c r="H20" i="12"/>
  <c r="E20" i="12"/>
  <c r="C20" i="12"/>
  <c r="F19" i="12"/>
  <c r="J19" i="12"/>
  <c r="D19" i="12"/>
  <c r="H19" i="12"/>
  <c r="E19" i="12"/>
  <c r="C19" i="12"/>
  <c r="F18" i="12"/>
  <c r="J18" i="12"/>
  <c r="D18" i="12"/>
  <c r="H18" i="12"/>
  <c r="E18" i="12"/>
  <c r="C18" i="12"/>
  <c r="F17" i="12"/>
  <c r="J17" i="12"/>
  <c r="D17" i="12"/>
  <c r="H17" i="12"/>
  <c r="E17" i="12"/>
  <c r="C17" i="12"/>
  <c r="F16" i="12"/>
  <c r="J16" i="12"/>
  <c r="D16" i="12"/>
  <c r="H16" i="12"/>
  <c r="E16" i="12"/>
  <c r="C16" i="12"/>
  <c r="F15" i="12"/>
  <c r="J15" i="12"/>
  <c r="D15" i="12"/>
  <c r="H15" i="12"/>
  <c r="E15" i="12"/>
  <c r="C15" i="12"/>
  <c r="F14" i="12"/>
  <c r="J14" i="12"/>
  <c r="D14" i="12"/>
  <c r="H14" i="12"/>
  <c r="E14" i="12"/>
  <c r="C14" i="12"/>
  <c r="F13" i="12"/>
  <c r="J13" i="12"/>
  <c r="D13" i="12"/>
  <c r="H13" i="12"/>
  <c r="E13" i="12"/>
  <c r="C13" i="12"/>
  <c r="F12" i="12"/>
  <c r="J12" i="12"/>
  <c r="D12" i="12"/>
  <c r="H12" i="12"/>
  <c r="E12" i="12"/>
  <c r="C12" i="12"/>
  <c r="C11" i="12"/>
  <c r="G11" i="12"/>
  <c r="E11" i="12"/>
  <c r="J11" i="12"/>
  <c r="F11" i="12"/>
  <c r="D11" i="12"/>
  <c r="C10" i="12"/>
  <c r="G10" i="12"/>
  <c r="E10" i="12"/>
  <c r="J10" i="12"/>
  <c r="F10" i="12"/>
  <c r="D10" i="12"/>
  <c r="C9" i="12"/>
  <c r="G9" i="12"/>
  <c r="E9" i="12"/>
  <c r="J9" i="12"/>
  <c r="F9" i="12"/>
  <c r="D9" i="12"/>
  <c r="C79" i="12"/>
  <c r="G79" i="12"/>
  <c r="E79" i="12"/>
  <c r="J79" i="12"/>
  <c r="F79" i="12"/>
  <c r="D79" i="12"/>
  <c r="C78" i="12"/>
  <c r="G78" i="12"/>
  <c r="E78" i="12"/>
  <c r="J78" i="12"/>
  <c r="F78" i="12"/>
  <c r="D78" i="12"/>
  <c r="C77" i="12"/>
  <c r="G77" i="12"/>
  <c r="E77" i="12"/>
  <c r="J77" i="12"/>
  <c r="F77" i="12"/>
  <c r="D77" i="12"/>
  <c r="C76" i="12"/>
  <c r="G76" i="12"/>
  <c r="E76" i="12"/>
  <c r="J76" i="12"/>
  <c r="F76" i="12"/>
  <c r="D76" i="12"/>
  <c r="C75" i="12"/>
  <c r="G75" i="12"/>
  <c r="E75" i="12"/>
  <c r="J75" i="12"/>
  <c r="F75" i="12"/>
  <c r="D75" i="12"/>
  <c r="C74" i="12"/>
  <c r="G74" i="12"/>
  <c r="E74" i="12"/>
  <c r="J74" i="12"/>
  <c r="F74" i="12"/>
  <c r="D74" i="12"/>
  <c r="C73" i="12"/>
  <c r="G73" i="12"/>
  <c r="E73" i="12"/>
  <c r="J73" i="12"/>
  <c r="F73" i="12"/>
  <c r="D73" i="12"/>
  <c r="F72" i="12"/>
  <c r="J72" i="12"/>
  <c r="D72" i="12"/>
  <c r="H72" i="12"/>
  <c r="C72" i="12"/>
  <c r="G72" i="12"/>
  <c r="F71" i="12"/>
  <c r="J71" i="12"/>
  <c r="D71" i="12"/>
  <c r="H71" i="12"/>
  <c r="C71" i="12"/>
  <c r="G71" i="12"/>
  <c r="E71" i="12"/>
  <c r="F70" i="12"/>
  <c r="J70" i="12"/>
  <c r="D70" i="12"/>
  <c r="H70" i="12"/>
  <c r="C70" i="12"/>
  <c r="G70" i="12"/>
  <c r="F69" i="12"/>
  <c r="J69" i="12"/>
  <c r="D69" i="12"/>
  <c r="H69" i="12"/>
  <c r="C69" i="12"/>
  <c r="G69" i="12"/>
  <c r="E69" i="12"/>
  <c r="J80" i="11"/>
  <c r="F80" i="11"/>
  <c r="F92" i="12"/>
  <c r="J92" i="12"/>
  <c r="D92" i="12"/>
  <c r="H92" i="12"/>
  <c r="C92" i="12"/>
  <c r="G92" i="12"/>
  <c r="E92" i="12"/>
  <c r="F91" i="12"/>
  <c r="J91" i="12"/>
  <c r="D91" i="12"/>
  <c r="H91" i="12"/>
  <c r="C91" i="12"/>
  <c r="G91" i="12"/>
  <c r="F90" i="12"/>
  <c r="J90" i="12"/>
  <c r="D90" i="12"/>
  <c r="H90" i="12"/>
  <c r="C90" i="12"/>
  <c r="G90" i="12"/>
  <c r="E90" i="12"/>
  <c r="F89" i="12"/>
  <c r="J89" i="12"/>
  <c r="D89" i="12"/>
  <c r="H89" i="12"/>
  <c r="C89" i="12"/>
  <c r="G89" i="12"/>
  <c r="F88" i="12"/>
  <c r="J88" i="12"/>
  <c r="D88" i="12"/>
  <c r="H88" i="12"/>
  <c r="C88" i="12"/>
  <c r="G88" i="12"/>
  <c r="E88" i="12"/>
  <c r="F87" i="12"/>
  <c r="J87" i="12"/>
  <c r="D87" i="12"/>
  <c r="H87" i="12"/>
  <c r="C87" i="12"/>
  <c r="G87" i="12"/>
  <c r="F86" i="12"/>
  <c r="J86" i="12"/>
  <c r="D86" i="12"/>
  <c r="H86" i="12"/>
  <c r="C86" i="12"/>
  <c r="G86" i="12"/>
  <c r="E86" i="12"/>
  <c r="F85" i="12"/>
  <c r="J85" i="12"/>
  <c r="D85" i="12"/>
  <c r="H85" i="12"/>
  <c r="C85" i="12"/>
  <c r="G85" i="12"/>
  <c r="F84" i="12"/>
  <c r="J84" i="12"/>
  <c r="D84" i="12"/>
  <c r="H84" i="12"/>
  <c r="C84" i="12"/>
  <c r="G84" i="12"/>
  <c r="E84" i="12"/>
  <c r="F83" i="12"/>
  <c r="J83" i="12"/>
  <c r="D83" i="12"/>
  <c r="H83" i="12"/>
  <c r="C83" i="12"/>
  <c r="G83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D52" i="12"/>
  <c r="G49" i="12"/>
  <c r="D48" i="12"/>
  <c r="G45" i="12"/>
  <c r="D44" i="12"/>
  <c r="G41" i="12"/>
  <c r="D40" i="12"/>
  <c r="C37" i="12"/>
  <c r="C35" i="12"/>
  <c r="C33" i="12"/>
  <c r="C31" i="12"/>
  <c r="G28" i="12"/>
  <c r="G24" i="12"/>
  <c r="G20" i="12"/>
  <c r="G16" i="12"/>
  <c r="G12" i="12"/>
  <c r="H76" i="12"/>
  <c r="E72" i="12"/>
  <c r="E89" i="12"/>
  <c r="M64" i="8"/>
  <c r="M48" i="8"/>
  <c r="M32" i="8"/>
  <c r="M16" i="8"/>
  <c r="M72" i="8"/>
  <c r="C8" i="10"/>
  <c r="C66" i="9"/>
  <c r="L93" i="9"/>
  <c r="E75" i="10"/>
  <c r="N66" i="13"/>
  <c r="F66" i="8"/>
  <c r="E32" i="17"/>
  <c r="M63" i="8"/>
  <c r="M52" i="8"/>
  <c r="M47" i="8"/>
  <c r="M36" i="8"/>
  <c r="M31" i="8"/>
  <c r="M20" i="8"/>
  <c r="M15" i="8"/>
  <c r="M76" i="8"/>
  <c r="M71" i="8"/>
  <c r="M66" i="11"/>
  <c r="G14" i="17"/>
  <c r="D80" i="11"/>
  <c r="L93" i="11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G51" i="12"/>
  <c r="D50" i="12"/>
  <c r="G47" i="12"/>
  <c r="D46" i="12"/>
  <c r="G43" i="12"/>
  <c r="D42" i="12"/>
  <c r="G39" i="12"/>
  <c r="C38" i="12"/>
  <c r="C36" i="12"/>
  <c r="C34" i="12"/>
  <c r="C32" i="12"/>
  <c r="C30" i="12"/>
  <c r="G26" i="12"/>
  <c r="G22" i="12"/>
  <c r="G18" i="12"/>
  <c r="G14" i="12"/>
  <c r="H10" i="12"/>
  <c r="H78" i="12"/>
  <c r="H74" i="12"/>
  <c r="E85" i="12"/>
  <c r="K57" i="12"/>
  <c r="K53" i="12"/>
  <c r="K49" i="12"/>
  <c r="K45" i="12"/>
  <c r="K41" i="12"/>
  <c r="K37" i="12"/>
  <c r="K33" i="12"/>
  <c r="K29" i="12"/>
  <c r="K25" i="12"/>
  <c r="K21" i="12"/>
  <c r="K17" i="12"/>
  <c r="K13" i="12"/>
  <c r="K9" i="12"/>
  <c r="K77" i="12"/>
  <c r="K73" i="12"/>
  <c r="K69" i="12"/>
  <c r="K90" i="12"/>
  <c r="K86" i="12"/>
  <c r="C65" i="10"/>
  <c r="C61" i="10"/>
  <c r="C57" i="10"/>
  <c r="C53" i="10"/>
  <c r="C49" i="10"/>
  <c r="C45" i="10"/>
  <c r="C41" i="10"/>
  <c r="C37" i="10"/>
  <c r="C33" i="10"/>
  <c r="C29" i="10"/>
  <c r="C25" i="10"/>
  <c r="C21" i="10"/>
  <c r="C17" i="10"/>
  <c r="C13" i="10"/>
  <c r="C9" i="10"/>
  <c r="E65" i="10"/>
  <c r="E61" i="10"/>
  <c r="E57" i="10"/>
  <c r="E53" i="10"/>
  <c r="E49" i="10"/>
  <c r="E45" i="10"/>
  <c r="E41" i="10"/>
  <c r="E37" i="10"/>
  <c r="E33" i="10"/>
  <c r="E29" i="10"/>
  <c r="E25" i="10"/>
  <c r="E21" i="10"/>
  <c r="E17" i="10"/>
  <c r="E13" i="10"/>
  <c r="E9" i="10"/>
  <c r="C76" i="10"/>
  <c r="C72" i="10"/>
  <c r="D76" i="10"/>
  <c r="D72" i="10"/>
  <c r="E92" i="10"/>
  <c r="C90" i="10"/>
  <c r="D89" i="10"/>
  <c r="C86" i="10"/>
  <c r="D85" i="10"/>
  <c r="E84" i="10"/>
  <c r="F66" i="11"/>
  <c r="J66" i="11"/>
  <c r="N66" i="11"/>
  <c r="I14" i="17"/>
  <c r="J68" i="12"/>
  <c r="F68" i="12"/>
  <c r="H68" i="12"/>
  <c r="D68" i="12"/>
  <c r="C68" i="12"/>
  <c r="G68" i="12"/>
  <c r="K80" i="11"/>
  <c r="C80" i="11"/>
  <c r="G82" i="12"/>
  <c r="C82" i="12"/>
  <c r="E82" i="12"/>
  <c r="J82" i="12"/>
  <c r="F82" i="12"/>
  <c r="D82" i="12"/>
  <c r="F8" i="12"/>
  <c r="J8" i="12"/>
  <c r="E71" i="10"/>
  <c r="D66" i="11"/>
  <c r="H66" i="11"/>
  <c r="L66" i="11"/>
  <c r="I12" i="12"/>
  <c r="I66" i="12" s="1"/>
  <c r="M80" i="11"/>
  <c r="I69" i="12"/>
  <c r="I80" i="12" s="1"/>
  <c r="E8" i="12"/>
  <c r="H8" i="12"/>
  <c r="H80" i="14"/>
  <c r="P80" i="14"/>
  <c r="F80" i="14"/>
  <c r="C66" i="14"/>
  <c r="G66" i="14"/>
  <c r="K66" i="14"/>
  <c r="L80" i="14"/>
  <c r="D80" i="14"/>
  <c r="O83" i="14"/>
  <c r="N93" i="14"/>
  <c r="J93" i="14"/>
  <c r="M93" i="16"/>
  <c r="I93" i="16"/>
  <c r="D80" i="13"/>
  <c r="M93" i="13"/>
  <c r="E66" i="14"/>
  <c r="I66" i="14"/>
  <c r="M66" i="14"/>
  <c r="Q66" i="14"/>
  <c r="L93" i="14"/>
  <c r="D93" i="14"/>
  <c r="I66" i="13"/>
  <c r="K80" i="13"/>
  <c r="F66" i="14"/>
  <c r="J66" i="14"/>
  <c r="N66" i="14"/>
  <c r="P93" i="14"/>
  <c r="H93" i="14"/>
  <c r="P82" i="16"/>
  <c r="N91" i="16"/>
  <c r="O87" i="16"/>
  <c r="O84" i="16"/>
  <c r="D66" i="14"/>
  <c r="H66" i="14"/>
  <c r="L66" i="14"/>
  <c r="P66" i="14"/>
  <c r="N80" i="14"/>
  <c r="J80" i="14"/>
  <c r="Q80" i="14"/>
  <c r="I80" i="14"/>
  <c r="H66" i="9"/>
  <c r="N82" i="16"/>
  <c r="Q82" i="16"/>
  <c r="Q92" i="16"/>
  <c r="O92" i="16"/>
  <c r="P88" i="16"/>
  <c r="Q86" i="16"/>
  <c r="N86" i="16"/>
  <c r="P85" i="16"/>
  <c r="N83" i="16"/>
  <c r="F65" i="16"/>
  <c r="D79" i="10"/>
  <c r="J65" i="16"/>
  <c r="C53" i="15"/>
  <c r="D15" i="15"/>
  <c r="F8" i="16"/>
  <c r="K64" i="16"/>
  <c r="H63" i="16"/>
  <c r="J61" i="16"/>
  <c r="C60" i="16"/>
  <c r="G43" i="15"/>
  <c r="C27" i="15"/>
  <c r="C80" i="15"/>
  <c r="D70" i="15"/>
  <c r="J8" i="16"/>
  <c r="G64" i="16"/>
  <c r="D63" i="16"/>
  <c r="F61" i="16"/>
  <c r="L59" i="16"/>
  <c r="G55" i="16"/>
  <c r="E49" i="16"/>
  <c r="C43" i="16"/>
  <c r="I57" i="15"/>
  <c r="H31" i="15"/>
  <c r="D41" i="15"/>
  <c r="I19" i="15"/>
  <c r="C64" i="16"/>
  <c r="J62" i="16"/>
  <c r="K60" i="16"/>
  <c r="C59" i="16"/>
  <c r="L63" i="16"/>
  <c r="F62" i="16"/>
  <c r="G60" i="16"/>
  <c r="I45" i="16"/>
  <c r="F79" i="10"/>
  <c r="C14" i="17"/>
  <c r="D71" i="15"/>
  <c r="H71" i="15"/>
  <c r="E71" i="15"/>
  <c r="F71" i="15" s="1"/>
  <c r="I71" i="15"/>
  <c r="C71" i="15"/>
  <c r="G71" i="15"/>
  <c r="G73" i="15"/>
  <c r="C73" i="15"/>
  <c r="H73" i="15"/>
  <c r="E73" i="15"/>
  <c r="F73" i="15" s="1"/>
  <c r="C75" i="15"/>
  <c r="G75" i="15"/>
  <c r="E75" i="15"/>
  <c r="F75" i="15" s="1"/>
  <c r="I75" i="15"/>
  <c r="D77" i="15"/>
  <c r="I77" i="15"/>
  <c r="E77" i="15"/>
  <c r="F77" i="15" s="1"/>
  <c r="C77" i="15"/>
  <c r="H77" i="15"/>
  <c r="D79" i="15"/>
  <c r="H79" i="15"/>
  <c r="E79" i="15"/>
  <c r="F79" i="15" s="1"/>
  <c r="I79" i="15"/>
  <c r="C79" i="15"/>
  <c r="G79" i="15"/>
  <c r="H75" i="15"/>
  <c r="D73" i="15"/>
  <c r="D10" i="15"/>
  <c r="H10" i="15"/>
  <c r="E10" i="15"/>
  <c r="F10" i="15" s="1"/>
  <c r="I10" i="15"/>
  <c r="C10" i="15"/>
  <c r="G10" i="15"/>
  <c r="C12" i="15"/>
  <c r="G12" i="15"/>
  <c r="E12" i="15"/>
  <c r="F12" i="15" s="1"/>
  <c r="I12" i="15"/>
  <c r="E14" i="15"/>
  <c r="F14" i="15" s="1"/>
  <c r="I14" i="15"/>
  <c r="D14" i="15"/>
  <c r="H14" i="15"/>
  <c r="C16" i="15"/>
  <c r="G16" i="15"/>
  <c r="D16" i="15"/>
  <c r="H16" i="15"/>
  <c r="C18" i="15"/>
  <c r="G18" i="15"/>
  <c r="E18" i="15"/>
  <c r="F18" i="15" s="1"/>
  <c r="I18" i="15"/>
  <c r="D20" i="15"/>
  <c r="H20" i="15"/>
  <c r="E20" i="15"/>
  <c r="F20" i="15" s="1"/>
  <c r="I20" i="15"/>
  <c r="C20" i="15"/>
  <c r="G20" i="15"/>
  <c r="C22" i="15"/>
  <c r="G22" i="15"/>
  <c r="D22" i="15"/>
  <c r="H22" i="15"/>
  <c r="E24" i="15"/>
  <c r="F24" i="15" s="1"/>
  <c r="I24" i="15"/>
  <c r="D24" i="15"/>
  <c r="H24" i="15"/>
  <c r="D26" i="15"/>
  <c r="H26" i="15"/>
  <c r="E26" i="15"/>
  <c r="F26" i="15" s="1"/>
  <c r="I26" i="15"/>
  <c r="C26" i="15"/>
  <c r="G26" i="15"/>
  <c r="C28" i="15"/>
  <c r="G28" i="15"/>
  <c r="E28" i="15"/>
  <c r="F28" i="15" s="1"/>
  <c r="I28" i="15"/>
  <c r="E30" i="15"/>
  <c r="F30" i="15" s="1"/>
  <c r="I30" i="15"/>
  <c r="D30" i="15"/>
  <c r="H30" i="15"/>
  <c r="C32" i="15"/>
  <c r="G32" i="15"/>
  <c r="D32" i="15"/>
  <c r="H32" i="15"/>
  <c r="C34" i="15"/>
  <c r="G34" i="15"/>
  <c r="E34" i="15"/>
  <c r="F34" i="15" s="1"/>
  <c r="I34" i="15"/>
  <c r="D36" i="15"/>
  <c r="H36" i="15"/>
  <c r="E36" i="15"/>
  <c r="F36" i="15" s="1"/>
  <c r="I36" i="15"/>
  <c r="C36" i="15"/>
  <c r="G36" i="15"/>
  <c r="C38" i="15"/>
  <c r="G38" i="15"/>
  <c r="D38" i="15"/>
  <c r="H38" i="15"/>
  <c r="E40" i="15"/>
  <c r="F40" i="15" s="1"/>
  <c r="I40" i="15"/>
  <c r="D40" i="15"/>
  <c r="H40" i="15"/>
  <c r="D42" i="15"/>
  <c r="H42" i="15"/>
  <c r="E42" i="15"/>
  <c r="F42" i="15" s="1"/>
  <c r="I42" i="15"/>
  <c r="C42" i="15"/>
  <c r="G42" i="15"/>
  <c r="C44" i="15"/>
  <c r="G44" i="15"/>
  <c r="E44" i="15"/>
  <c r="F44" i="15" s="1"/>
  <c r="I44" i="15"/>
  <c r="E46" i="15"/>
  <c r="F46" i="15" s="1"/>
  <c r="I46" i="15"/>
  <c r="D46" i="15"/>
  <c r="H46" i="15"/>
  <c r="C48" i="15"/>
  <c r="G48" i="15"/>
  <c r="D48" i="15"/>
  <c r="H48" i="15"/>
  <c r="C50" i="15"/>
  <c r="G50" i="15"/>
  <c r="E50" i="15"/>
  <c r="F50" i="15" s="1"/>
  <c r="I50" i="15"/>
  <c r="D52" i="15"/>
  <c r="H52" i="15"/>
  <c r="E52" i="15"/>
  <c r="F52" i="15" s="1"/>
  <c r="I52" i="15"/>
  <c r="C52" i="15"/>
  <c r="G52" i="15"/>
  <c r="C54" i="15"/>
  <c r="G54" i="15"/>
  <c r="D54" i="15"/>
  <c r="H54" i="15"/>
  <c r="E56" i="15"/>
  <c r="F56" i="15" s="1"/>
  <c r="I56" i="15"/>
  <c r="D56" i="15"/>
  <c r="H56" i="15"/>
  <c r="D58" i="15"/>
  <c r="H58" i="15"/>
  <c r="E58" i="15"/>
  <c r="F58" i="15" s="1"/>
  <c r="I58" i="15"/>
  <c r="C58" i="15"/>
  <c r="G58" i="15"/>
  <c r="C60" i="15"/>
  <c r="G60" i="15"/>
  <c r="E60" i="15"/>
  <c r="F60" i="15" s="1"/>
  <c r="I60" i="15"/>
  <c r="E62" i="15"/>
  <c r="F62" i="15" s="1"/>
  <c r="I62" i="15"/>
  <c r="D62" i="15"/>
  <c r="H62" i="15"/>
  <c r="C64" i="15"/>
  <c r="G64" i="15"/>
  <c r="D64" i="15"/>
  <c r="H64" i="15"/>
  <c r="C66" i="15"/>
  <c r="E66" i="15"/>
  <c r="F66" i="15" s="1"/>
  <c r="H66" i="15"/>
  <c r="I64" i="15"/>
  <c r="G62" i="15"/>
  <c r="D60" i="15"/>
  <c r="H50" i="15"/>
  <c r="E48" i="15"/>
  <c r="F48" i="15" s="1"/>
  <c r="C46" i="15"/>
  <c r="I38" i="15"/>
  <c r="D34" i="15"/>
  <c r="G24" i="15"/>
  <c r="E22" i="15"/>
  <c r="F22" i="15" s="1"/>
  <c r="H12" i="15"/>
  <c r="G70" i="15"/>
  <c r="C70" i="15"/>
  <c r="H70" i="15"/>
  <c r="E70" i="15"/>
  <c r="F70" i="15" s="1"/>
  <c r="E72" i="15"/>
  <c r="F72" i="15" s="1"/>
  <c r="I72" i="15"/>
  <c r="D72" i="15"/>
  <c r="H72" i="15"/>
  <c r="D74" i="15"/>
  <c r="I74" i="15"/>
  <c r="E74" i="15"/>
  <c r="F74" i="15" s="1"/>
  <c r="C74" i="15"/>
  <c r="H74" i="15"/>
  <c r="C76" i="15"/>
  <c r="G76" i="15"/>
  <c r="D76" i="15"/>
  <c r="H76" i="15"/>
  <c r="G78" i="15"/>
  <c r="C78" i="15"/>
  <c r="H78" i="15"/>
  <c r="E78" i="15"/>
  <c r="F78" i="15" s="1"/>
  <c r="E80" i="15"/>
  <c r="F80" i="15" s="1"/>
  <c r="I80" i="15"/>
  <c r="D80" i="15"/>
  <c r="H80" i="15"/>
  <c r="G66" i="15"/>
  <c r="E64" i="15"/>
  <c r="F64" i="15" s="1"/>
  <c r="C62" i="15"/>
  <c r="I54" i="15"/>
  <c r="D50" i="15"/>
  <c r="G40" i="15"/>
  <c r="E38" i="15"/>
  <c r="F38" i="15" s="1"/>
  <c r="H28" i="15"/>
  <c r="C24" i="15"/>
  <c r="I16" i="15"/>
  <c r="G14" i="15"/>
  <c r="D12" i="15"/>
  <c r="I76" i="15"/>
  <c r="G74" i="15"/>
  <c r="C72" i="15"/>
  <c r="E11" i="15"/>
  <c r="F11" i="15" s="1"/>
  <c r="I11" i="15"/>
  <c r="D11" i="15"/>
  <c r="H11" i="15"/>
  <c r="C13" i="15"/>
  <c r="H13" i="15"/>
  <c r="D13" i="15"/>
  <c r="I13" i="15"/>
  <c r="G13" i="15"/>
  <c r="C15" i="15"/>
  <c r="G15" i="15"/>
  <c r="E15" i="15"/>
  <c r="F15" i="15" s="1"/>
  <c r="I15" i="15"/>
  <c r="D17" i="15"/>
  <c r="I17" i="15"/>
  <c r="E17" i="15"/>
  <c r="F17" i="15" s="1"/>
  <c r="C17" i="15"/>
  <c r="H17" i="15"/>
  <c r="C19" i="15"/>
  <c r="G19" i="15"/>
  <c r="D19" i="15"/>
  <c r="H19" i="15"/>
  <c r="E21" i="15"/>
  <c r="F21" i="15" s="1"/>
  <c r="G21" i="15"/>
  <c r="D21" i="15"/>
  <c r="I21" i="15"/>
  <c r="D23" i="15"/>
  <c r="H23" i="15"/>
  <c r="E23" i="15"/>
  <c r="F23" i="15" s="1"/>
  <c r="I23" i="15"/>
  <c r="C23" i="15"/>
  <c r="G23" i="15"/>
  <c r="G25" i="15"/>
  <c r="C25" i="15"/>
  <c r="H25" i="15"/>
  <c r="E25" i="15"/>
  <c r="F25" i="15" s="1"/>
  <c r="E27" i="15"/>
  <c r="F27" i="15" s="1"/>
  <c r="I27" i="15"/>
  <c r="D27" i="15"/>
  <c r="H27" i="15"/>
  <c r="C29" i="15"/>
  <c r="H29" i="15"/>
  <c r="D29" i="15"/>
  <c r="I29" i="15"/>
  <c r="G29" i="15"/>
  <c r="C31" i="15"/>
  <c r="G31" i="15"/>
  <c r="E31" i="15"/>
  <c r="F31" i="15" s="1"/>
  <c r="I31" i="15"/>
  <c r="D33" i="15"/>
  <c r="I33" i="15"/>
  <c r="E33" i="15"/>
  <c r="F33" i="15" s="1"/>
  <c r="C33" i="15"/>
  <c r="H33" i="15"/>
  <c r="C35" i="15"/>
  <c r="G35" i="15"/>
  <c r="D35" i="15"/>
  <c r="H35" i="15"/>
  <c r="E37" i="15"/>
  <c r="F37" i="15" s="1"/>
  <c r="G37" i="15"/>
  <c r="D37" i="15"/>
  <c r="I37" i="15"/>
  <c r="D39" i="15"/>
  <c r="H39" i="15"/>
  <c r="E39" i="15"/>
  <c r="F39" i="15" s="1"/>
  <c r="I39" i="15"/>
  <c r="C39" i="15"/>
  <c r="G39" i="15"/>
  <c r="G41" i="15"/>
  <c r="C41" i="15"/>
  <c r="H41" i="15"/>
  <c r="E41" i="15"/>
  <c r="F41" i="15" s="1"/>
  <c r="E43" i="15"/>
  <c r="F43" i="15" s="1"/>
  <c r="I43" i="15"/>
  <c r="D43" i="15"/>
  <c r="H43" i="15"/>
  <c r="C45" i="15"/>
  <c r="H45" i="15"/>
  <c r="D45" i="15"/>
  <c r="I45" i="15"/>
  <c r="G45" i="15"/>
  <c r="C47" i="15"/>
  <c r="G47" i="15"/>
  <c r="E47" i="15"/>
  <c r="F47" i="15" s="1"/>
  <c r="I47" i="15"/>
  <c r="D49" i="15"/>
  <c r="I49" i="15"/>
  <c r="E49" i="15"/>
  <c r="F49" i="15" s="1"/>
  <c r="C49" i="15"/>
  <c r="H49" i="15"/>
  <c r="C51" i="15"/>
  <c r="G51" i="15"/>
  <c r="D51" i="15"/>
  <c r="H51" i="15"/>
  <c r="E53" i="15"/>
  <c r="F53" i="15" s="1"/>
  <c r="G53" i="15"/>
  <c r="D53" i="15"/>
  <c r="I53" i="15"/>
  <c r="D55" i="15"/>
  <c r="H55" i="15"/>
  <c r="E55" i="15"/>
  <c r="F55" i="15" s="1"/>
  <c r="I55" i="15"/>
  <c r="C55" i="15"/>
  <c r="G55" i="15"/>
  <c r="G57" i="15"/>
  <c r="C57" i="15"/>
  <c r="H57" i="15"/>
  <c r="E57" i="15"/>
  <c r="F57" i="15" s="1"/>
  <c r="E59" i="15"/>
  <c r="F59" i="15" s="1"/>
  <c r="I59" i="15"/>
  <c r="D59" i="15"/>
  <c r="H59" i="15"/>
  <c r="C61" i="15"/>
  <c r="H61" i="15"/>
  <c r="D61" i="15"/>
  <c r="I61" i="15"/>
  <c r="G61" i="15"/>
  <c r="C63" i="15"/>
  <c r="G63" i="15"/>
  <c r="E63" i="15"/>
  <c r="F63" i="15" s="1"/>
  <c r="I63" i="15"/>
  <c r="D65" i="15"/>
  <c r="I65" i="15"/>
  <c r="E65" i="15"/>
  <c r="F65" i="15" s="1"/>
  <c r="C65" i="15"/>
  <c r="H65" i="15"/>
  <c r="E69" i="15"/>
  <c r="F69" i="15" s="1"/>
  <c r="I69" i="15"/>
  <c r="D69" i="15"/>
  <c r="G69" i="15"/>
  <c r="D66" i="15"/>
  <c r="H63" i="15"/>
  <c r="E61" i="15"/>
  <c r="F61" i="15" s="1"/>
  <c r="C59" i="15"/>
  <c r="G56" i="15"/>
  <c r="E54" i="15"/>
  <c r="F54" i="15" s="1"/>
  <c r="I51" i="15"/>
  <c r="G49" i="15"/>
  <c r="D47" i="15"/>
  <c r="H44" i="15"/>
  <c r="C40" i="15"/>
  <c r="H37" i="15"/>
  <c r="E35" i="15"/>
  <c r="F35" i="15" s="1"/>
  <c r="I32" i="15"/>
  <c r="G30" i="15"/>
  <c r="D28" i="15"/>
  <c r="I25" i="15"/>
  <c r="C21" i="15"/>
  <c r="H18" i="15"/>
  <c r="E16" i="15"/>
  <c r="F16" i="15" s="1"/>
  <c r="C14" i="15"/>
  <c r="G11" i="15"/>
  <c r="H69" i="15"/>
  <c r="I78" i="15"/>
  <c r="E76" i="15"/>
  <c r="F76" i="15" s="1"/>
  <c r="I73" i="15"/>
  <c r="C70" i="16"/>
  <c r="G70" i="16"/>
  <c r="K70" i="16"/>
  <c r="D70" i="16"/>
  <c r="H70" i="16"/>
  <c r="L70" i="16"/>
  <c r="F70" i="16"/>
  <c r="P70" i="16" s="1"/>
  <c r="J70" i="16"/>
  <c r="M70" i="16"/>
  <c r="I70" i="16"/>
  <c r="E70" i="16"/>
  <c r="D72" i="16"/>
  <c r="H72" i="16"/>
  <c r="L72" i="16"/>
  <c r="E72" i="16"/>
  <c r="I72" i="16"/>
  <c r="M72" i="16"/>
  <c r="Q72" i="16" s="1"/>
  <c r="C72" i="16"/>
  <c r="G72" i="16"/>
  <c r="K72" i="16"/>
  <c r="F72" i="16"/>
  <c r="J72" i="16"/>
  <c r="D74" i="16"/>
  <c r="H74" i="16"/>
  <c r="L74" i="16"/>
  <c r="E74" i="16"/>
  <c r="I74" i="16"/>
  <c r="M74" i="16"/>
  <c r="C74" i="16"/>
  <c r="G74" i="16"/>
  <c r="K74" i="16"/>
  <c r="J74" i="16"/>
  <c r="F74" i="16"/>
  <c r="E76" i="16"/>
  <c r="I76" i="16"/>
  <c r="M76" i="16"/>
  <c r="F76" i="16"/>
  <c r="J76" i="16"/>
  <c r="D76" i="16"/>
  <c r="H76" i="16"/>
  <c r="L76" i="16"/>
  <c r="C76" i="16"/>
  <c r="K76" i="16"/>
  <c r="G76" i="16"/>
  <c r="E78" i="16"/>
  <c r="I78" i="16"/>
  <c r="M78" i="16"/>
  <c r="F78" i="16"/>
  <c r="J78" i="16"/>
  <c r="D78" i="16"/>
  <c r="N78" i="16" s="1"/>
  <c r="H78" i="16"/>
  <c r="Q78" i="16" s="1"/>
  <c r="L78" i="16"/>
  <c r="G78" i="16"/>
  <c r="K78" i="16"/>
  <c r="C78" i="16"/>
  <c r="E10" i="16"/>
  <c r="I10" i="16"/>
  <c r="F10" i="16"/>
  <c r="J10" i="16"/>
  <c r="D10" i="16"/>
  <c r="H10" i="16"/>
  <c r="L10" i="16"/>
  <c r="C10" i="16"/>
  <c r="G10" i="16"/>
  <c r="M10" i="16"/>
  <c r="K10" i="16"/>
  <c r="C12" i="16"/>
  <c r="G12" i="16"/>
  <c r="K12" i="16"/>
  <c r="E12" i="16"/>
  <c r="I12" i="16"/>
  <c r="M12" i="16"/>
  <c r="D12" i="16"/>
  <c r="L12" i="16"/>
  <c r="F12" i="16"/>
  <c r="J12" i="16"/>
  <c r="H12" i="16"/>
  <c r="C14" i="16"/>
  <c r="G14" i="16"/>
  <c r="K14" i="16"/>
  <c r="E14" i="16"/>
  <c r="I14" i="16"/>
  <c r="M14" i="16"/>
  <c r="D14" i="16"/>
  <c r="L14" i="16"/>
  <c r="F14" i="16"/>
  <c r="J14" i="16"/>
  <c r="H14" i="16"/>
  <c r="D16" i="16"/>
  <c r="H16" i="16"/>
  <c r="L16" i="16"/>
  <c r="F16" i="16"/>
  <c r="J16" i="16"/>
  <c r="I16" i="16"/>
  <c r="C16" i="16"/>
  <c r="K16" i="16"/>
  <c r="G16" i="16"/>
  <c r="M16" i="16"/>
  <c r="F18" i="16"/>
  <c r="J18" i="16"/>
  <c r="D18" i="16"/>
  <c r="H18" i="16"/>
  <c r="L18" i="16"/>
  <c r="G18" i="16"/>
  <c r="I18" i="16"/>
  <c r="E18" i="16"/>
  <c r="M18" i="16"/>
  <c r="C18" i="16"/>
  <c r="C20" i="16"/>
  <c r="G20" i="16"/>
  <c r="K20" i="16"/>
  <c r="E20" i="16"/>
  <c r="I20" i="16"/>
  <c r="M20" i="16"/>
  <c r="D20" i="16"/>
  <c r="L20" i="16"/>
  <c r="F20" i="16"/>
  <c r="J20" i="16"/>
  <c r="H20" i="16"/>
  <c r="F22" i="16"/>
  <c r="J22" i="16"/>
  <c r="D22" i="16"/>
  <c r="H22" i="16"/>
  <c r="L22" i="16"/>
  <c r="C22" i="16"/>
  <c r="K22" i="16"/>
  <c r="E22" i="16"/>
  <c r="M22" i="16"/>
  <c r="I22" i="16"/>
  <c r="G22" i="16"/>
  <c r="E24" i="16"/>
  <c r="I24" i="16"/>
  <c r="M24" i="16"/>
  <c r="F24" i="16"/>
  <c r="J24" i="16"/>
  <c r="D24" i="16"/>
  <c r="N24" i="16" s="1"/>
  <c r="H24" i="16"/>
  <c r="L24" i="16"/>
  <c r="C24" i="16"/>
  <c r="G24" i="16"/>
  <c r="E26" i="16"/>
  <c r="I26" i="16"/>
  <c r="M26" i="16"/>
  <c r="F26" i="16"/>
  <c r="J26" i="16"/>
  <c r="D26" i="16"/>
  <c r="N26" i="16" s="1"/>
  <c r="H26" i="16"/>
  <c r="Q26" i="16" s="1"/>
  <c r="L26" i="16"/>
  <c r="K26" i="16"/>
  <c r="G26" i="16"/>
  <c r="F28" i="16"/>
  <c r="J28" i="16"/>
  <c r="C28" i="16"/>
  <c r="G28" i="16"/>
  <c r="K28" i="16"/>
  <c r="E28" i="16"/>
  <c r="O28" i="16" s="1"/>
  <c r="I28" i="16"/>
  <c r="M28" i="16"/>
  <c r="Q28" i="16" s="1"/>
  <c r="D28" i="16"/>
  <c r="L28" i="16"/>
  <c r="E30" i="16"/>
  <c r="I30" i="16"/>
  <c r="M30" i="16"/>
  <c r="F30" i="16"/>
  <c r="J30" i="16"/>
  <c r="D30" i="16"/>
  <c r="N30" i="16" s="1"/>
  <c r="H30" i="16"/>
  <c r="L30" i="16"/>
  <c r="G30" i="16"/>
  <c r="K30" i="16"/>
  <c r="C30" i="16"/>
  <c r="F32" i="16"/>
  <c r="J32" i="16"/>
  <c r="C32" i="16"/>
  <c r="G32" i="16"/>
  <c r="K32" i="16"/>
  <c r="E32" i="16"/>
  <c r="O32" i="16" s="1"/>
  <c r="I32" i="16"/>
  <c r="M32" i="16"/>
  <c r="L32" i="16"/>
  <c r="H32" i="16"/>
  <c r="E34" i="16"/>
  <c r="I34" i="16"/>
  <c r="M34" i="16"/>
  <c r="F34" i="16"/>
  <c r="J34" i="16"/>
  <c r="D34" i="16"/>
  <c r="N34" i="16" s="1"/>
  <c r="H34" i="16"/>
  <c r="L34" i="16"/>
  <c r="C34" i="16"/>
  <c r="G34" i="16"/>
  <c r="F36" i="16"/>
  <c r="J36" i="16"/>
  <c r="C36" i="16"/>
  <c r="G36" i="16"/>
  <c r="K36" i="16"/>
  <c r="E36" i="16"/>
  <c r="I36" i="16"/>
  <c r="M36" i="16"/>
  <c r="H36" i="16"/>
  <c r="L36" i="16"/>
  <c r="D36" i="16"/>
  <c r="N36" i="16" s="1"/>
  <c r="E38" i="16"/>
  <c r="I38" i="16"/>
  <c r="M38" i="16"/>
  <c r="F38" i="16"/>
  <c r="J38" i="16"/>
  <c r="D38" i="16"/>
  <c r="N38" i="16" s="1"/>
  <c r="H38" i="16"/>
  <c r="L38" i="16"/>
  <c r="C38" i="16"/>
  <c r="K38" i="16"/>
  <c r="D40" i="16"/>
  <c r="H40" i="16"/>
  <c r="L40" i="16"/>
  <c r="E40" i="16"/>
  <c r="O40" i="16" s="1"/>
  <c r="I40" i="16"/>
  <c r="M40" i="16"/>
  <c r="C40" i="16"/>
  <c r="G40" i="16"/>
  <c r="K40" i="16"/>
  <c r="C42" i="16"/>
  <c r="G42" i="16"/>
  <c r="K42" i="16"/>
  <c r="D42" i="16"/>
  <c r="H42" i="16"/>
  <c r="L42" i="16"/>
  <c r="F42" i="16"/>
  <c r="P42" i="16" s="1"/>
  <c r="J42" i="16"/>
  <c r="D44" i="16"/>
  <c r="H44" i="16"/>
  <c r="L44" i="16"/>
  <c r="E44" i="16"/>
  <c r="I44" i="16"/>
  <c r="M44" i="16"/>
  <c r="C44" i="16"/>
  <c r="G44" i="16"/>
  <c r="K44" i="16"/>
  <c r="P44" i="16" s="1"/>
  <c r="C46" i="16"/>
  <c r="G46" i="16"/>
  <c r="K46" i="16"/>
  <c r="D46" i="16"/>
  <c r="H46" i="16"/>
  <c r="Q46" i="16" s="1"/>
  <c r="L46" i="16"/>
  <c r="F46" i="16"/>
  <c r="P46" i="16" s="1"/>
  <c r="J46" i="16"/>
  <c r="D48" i="16"/>
  <c r="H48" i="16"/>
  <c r="L48" i="16"/>
  <c r="E48" i="16"/>
  <c r="I48" i="16"/>
  <c r="M48" i="16"/>
  <c r="C48" i="16"/>
  <c r="G48" i="16"/>
  <c r="K48" i="16"/>
  <c r="C50" i="16"/>
  <c r="G50" i="16"/>
  <c r="K50" i="16"/>
  <c r="D50" i="16"/>
  <c r="N50" i="16" s="1"/>
  <c r="H50" i="16"/>
  <c r="L50" i="16"/>
  <c r="F50" i="16"/>
  <c r="P50" i="16" s="1"/>
  <c r="J50" i="16"/>
  <c r="D52" i="16"/>
  <c r="H52" i="16"/>
  <c r="L52" i="16"/>
  <c r="E52" i="16"/>
  <c r="I52" i="16"/>
  <c r="M52" i="16"/>
  <c r="C52" i="16"/>
  <c r="G52" i="16"/>
  <c r="K52" i="16"/>
  <c r="C54" i="16"/>
  <c r="G54" i="16"/>
  <c r="K54" i="16"/>
  <c r="D54" i="16"/>
  <c r="H54" i="16"/>
  <c r="L54" i="16"/>
  <c r="F54" i="16"/>
  <c r="J54" i="16"/>
  <c r="O54" i="16" s="1"/>
  <c r="D56" i="16"/>
  <c r="H56" i="16"/>
  <c r="L56" i="16"/>
  <c r="E56" i="16"/>
  <c r="O56" i="16" s="1"/>
  <c r="I56" i="16"/>
  <c r="M56" i="16"/>
  <c r="C56" i="16"/>
  <c r="G56" i="16"/>
  <c r="K56" i="16"/>
  <c r="C58" i="16"/>
  <c r="G58" i="16"/>
  <c r="K58" i="16"/>
  <c r="D58" i="16"/>
  <c r="H58" i="16"/>
  <c r="L58" i="16"/>
  <c r="F58" i="16"/>
  <c r="P58" i="16" s="1"/>
  <c r="J58" i="16"/>
  <c r="L68" i="16"/>
  <c r="H68" i="16"/>
  <c r="D68" i="16"/>
  <c r="K68" i="16"/>
  <c r="G68" i="16"/>
  <c r="C68" i="16"/>
  <c r="M68" i="16"/>
  <c r="I68" i="16"/>
  <c r="E68" i="16"/>
  <c r="F68" i="16"/>
  <c r="J68" i="16"/>
  <c r="E8" i="16"/>
  <c r="I8" i="16"/>
  <c r="M8" i="16"/>
  <c r="K65" i="16"/>
  <c r="G65" i="16"/>
  <c r="C65" i="16"/>
  <c r="L64" i="16"/>
  <c r="H64" i="16"/>
  <c r="D64" i="16"/>
  <c r="M63" i="16"/>
  <c r="I63" i="16"/>
  <c r="E63" i="16"/>
  <c r="K62" i="16"/>
  <c r="P62" i="16" s="1"/>
  <c r="G62" i="16"/>
  <c r="C62" i="16"/>
  <c r="K61" i="16"/>
  <c r="G61" i="16"/>
  <c r="C61" i="16"/>
  <c r="L60" i="16"/>
  <c r="H60" i="16"/>
  <c r="D60" i="16"/>
  <c r="M59" i="16"/>
  <c r="E58" i="16"/>
  <c r="I54" i="16"/>
  <c r="M50" i="16"/>
  <c r="F48" i="16"/>
  <c r="J44" i="16"/>
  <c r="E42" i="16"/>
  <c r="K34" i="16"/>
  <c r="K24" i="16"/>
  <c r="E16" i="16"/>
  <c r="E9" i="16"/>
  <c r="I9" i="16"/>
  <c r="M9" i="16"/>
  <c r="F9" i="16"/>
  <c r="J9" i="16"/>
  <c r="D9" i="16"/>
  <c r="N9" i="16" s="1"/>
  <c r="H9" i="16"/>
  <c r="Q9" i="16" s="1"/>
  <c r="L9" i="16"/>
  <c r="C9" i="16"/>
  <c r="K9" i="16"/>
  <c r="G9" i="16"/>
  <c r="D11" i="16"/>
  <c r="H11" i="16"/>
  <c r="L11" i="16"/>
  <c r="F11" i="16"/>
  <c r="J11" i="16"/>
  <c r="I11" i="16"/>
  <c r="C11" i="16"/>
  <c r="K11" i="16"/>
  <c r="G11" i="16"/>
  <c r="M11" i="16"/>
  <c r="C13" i="16"/>
  <c r="G13" i="16"/>
  <c r="K13" i="16"/>
  <c r="E13" i="16"/>
  <c r="I13" i="16"/>
  <c r="M13" i="16"/>
  <c r="H13" i="16"/>
  <c r="J13" i="16"/>
  <c r="F13" i="16"/>
  <c r="D13" i="16"/>
  <c r="E15" i="16"/>
  <c r="I15" i="16"/>
  <c r="M15" i="16"/>
  <c r="C15" i="16"/>
  <c r="G15" i="16"/>
  <c r="K15" i="16"/>
  <c r="F15" i="16"/>
  <c r="H15" i="16"/>
  <c r="D15" i="16"/>
  <c r="L15" i="16"/>
  <c r="J15" i="16"/>
  <c r="C17" i="16"/>
  <c r="G17" i="16"/>
  <c r="K17" i="16"/>
  <c r="E17" i="16"/>
  <c r="I17" i="16"/>
  <c r="M17" i="16"/>
  <c r="D17" i="16"/>
  <c r="L17" i="16"/>
  <c r="F17" i="16"/>
  <c r="J17" i="16"/>
  <c r="H17" i="16"/>
  <c r="D19" i="16"/>
  <c r="H19" i="16"/>
  <c r="L19" i="16"/>
  <c r="F19" i="16"/>
  <c r="J19" i="16"/>
  <c r="I19" i="16"/>
  <c r="C19" i="16"/>
  <c r="K19" i="16"/>
  <c r="G19" i="16"/>
  <c r="M19" i="16"/>
  <c r="E19" i="16"/>
  <c r="F21" i="16"/>
  <c r="J21" i="16"/>
  <c r="D21" i="16"/>
  <c r="H21" i="16"/>
  <c r="L21" i="16"/>
  <c r="G21" i="16"/>
  <c r="I21" i="16"/>
  <c r="E21" i="16"/>
  <c r="M21" i="16"/>
  <c r="K21" i="16"/>
  <c r="D23" i="16"/>
  <c r="F23" i="16"/>
  <c r="E23" i="16"/>
  <c r="J23" i="16"/>
  <c r="G23" i="16"/>
  <c r="K23" i="16"/>
  <c r="C23" i="16"/>
  <c r="I23" i="16"/>
  <c r="M23" i="16"/>
  <c r="Q23" i="16" s="1"/>
  <c r="L23" i="16"/>
  <c r="E25" i="16"/>
  <c r="I25" i="16"/>
  <c r="M25" i="16"/>
  <c r="F25" i="16"/>
  <c r="J25" i="16"/>
  <c r="D25" i="16"/>
  <c r="H25" i="16"/>
  <c r="L25" i="16"/>
  <c r="G25" i="16"/>
  <c r="K25" i="16"/>
  <c r="C25" i="16"/>
  <c r="C27" i="16"/>
  <c r="G27" i="16"/>
  <c r="K27" i="16"/>
  <c r="D27" i="16"/>
  <c r="H27" i="16"/>
  <c r="L27" i="16"/>
  <c r="F27" i="16"/>
  <c r="P27" i="16" s="1"/>
  <c r="J27" i="16"/>
  <c r="M27" i="16"/>
  <c r="I27" i="16"/>
  <c r="E29" i="16"/>
  <c r="I29" i="16"/>
  <c r="M29" i="16"/>
  <c r="F29" i="16"/>
  <c r="P29" i="16" s="1"/>
  <c r="J29" i="16"/>
  <c r="D29" i="16"/>
  <c r="N29" i="16" s="1"/>
  <c r="H29" i="16"/>
  <c r="L29" i="16"/>
  <c r="C29" i="16"/>
  <c r="G29" i="16"/>
  <c r="C31" i="16"/>
  <c r="G31" i="16"/>
  <c r="K31" i="16"/>
  <c r="D31" i="16"/>
  <c r="H31" i="16"/>
  <c r="L31" i="16"/>
  <c r="F31" i="16"/>
  <c r="J31" i="16"/>
  <c r="I31" i="16"/>
  <c r="M31" i="16"/>
  <c r="E31" i="16"/>
  <c r="E33" i="16"/>
  <c r="I33" i="16"/>
  <c r="M33" i="16"/>
  <c r="F33" i="16"/>
  <c r="J33" i="16"/>
  <c r="D33" i="16"/>
  <c r="N33" i="16" s="1"/>
  <c r="H33" i="16"/>
  <c r="L33" i="16"/>
  <c r="C33" i="16"/>
  <c r="K33" i="16"/>
  <c r="C35" i="16"/>
  <c r="G35" i="16"/>
  <c r="K35" i="16"/>
  <c r="D35" i="16"/>
  <c r="H35" i="16"/>
  <c r="L35" i="16"/>
  <c r="F35" i="16"/>
  <c r="P35" i="16" s="1"/>
  <c r="J35" i="16"/>
  <c r="E35" i="16"/>
  <c r="I35" i="16"/>
  <c r="E37" i="16"/>
  <c r="I37" i="16"/>
  <c r="M37" i="16"/>
  <c r="F37" i="16"/>
  <c r="J37" i="16"/>
  <c r="D37" i="16"/>
  <c r="H37" i="16"/>
  <c r="L37" i="16"/>
  <c r="K37" i="16"/>
  <c r="G37" i="16"/>
  <c r="C39" i="16"/>
  <c r="G39" i="16"/>
  <c r="K39" i="16"/>
  <c r="D39" i="16"/>
  <c r="N39" i="16" s="1"/>
  <c r="H39" i="16"/>
  <c r="F39" i="16"/>
  <c r="J39" i="16"/>
  <c r="M39" i="16"/>
  <c r="E39" i="16"/>
  <c r="L39" i="16"/>
  <c r="C41" i="16"/>
  <c r="G41" i="16"/>
  <c r="K41" i="16"/>
  <c r="D41" i="16"/>
  <c r="H41" i="16"/>
  <c r="Q41" i="16" s="1"/>
  <c r="L41" i="16"/>
  <c r="F41" i="16"/>
  <c r="J41" i="16"/>
  <c r="E43" i="16"/>
  <c r="I43" i="16"/>
  <c r="M43" i="16"/>
  <c r="F43" i="16"/>
  <c r="J43" i="16"/>
  <c r="D43" i="16"/>
  <c r="N43" i="16" s="1"/>
  <c r="H43" i="16"/>
  <c r="Q43" i="16" s="1"/>
  <c r="L43" i="16"/>
  <c r="C45" i="16"/>
  <c r="G45" i="16"/>
  <c r="K45" i="16"/>
  <c r="D45" i="16"/>
  <c r="H45" i="16"/>
  <c r="Q45" i="16" s="1"/>
  <c r="L45" i="16"/>
  <c r="F45" i="16"/>
  <c r="P45" i="16" s="1"/>
  <c r="J45" i="16"/>
  <c r="E47" i="16"/>
  <c r="I47" i="16"/>
  <c r="M47" i="16"/>
  <c r="F47" i="16"/>
  <c r="J47" i="16"/>
  <c r="D47" i="16"/>
  <c r="N47" i="16" s="1"/>
  <c r="H47" i="16"/>
  <c r="L47" i="16"/>
  <c r="C49" i="16"/>
  <c r="G49" i="16"/>
  <c r="K49" i="16"/>
  <c r="D49" i="16"/>
  <c r="N49" i="16" s="1"/>
  <c r="H49" i="16"/>
  <c r="L49" i="16"/>
  <c r="F49" i="16"/>
  <c r="P49" i="16" s="1"/>
  <c r="J49" i="16"/>
  <c r="E51" i="16"/>
  <c r="I51" i="16"/>
  <c r="M51" i="16"/>
  <c r="F51" i="16"/>
  <c r="P51" i="16" s="1"/>
  <c r="J51" i="16"/>
  <c r="D51" i="16"/>
  <c r="H51" i="16"/>
  <c r="Q51" i="16" s="1"/>
  <c r="L51" i="16"/>
  <c r="C53" i="16"/>
  <c r="G53" i="16"/>
  <c r="K53" i="16"/>
  <c r="D53" i="16"/>
  <c r="H53" i="16"/>
  <c r="L53" i="16"/>
  <c r="F53" i="16"/>
  <c r="P53" i="16" s="1"/>
  <c r="J53" i="16"/>
  <c r="O53" i="16" s="1"/>
  <c r="E55" i="16"/>
  <c r="I55" i="16"/>
  <c r="M55" i="16"/>
  <c r="F55" i="16"/>
  <c r="P55" i="16" s="1"/>
  <c r="J55" i="16"/>
  <c r="D55" i="16"/>
  <c r="N55" i="16" s="1"/>
  <c r="H55" i="16"/>
  <c r="Q55" i="16" s="1"/>
  <c r="L55" i="16"/>
  <c r="C57" i="16"/>
  <c r="G57" i="16"/>
  <c r="K57" i="16"/>
  <c r="D57" i="16"/>
  <c r="H57" i="16"/>
  <c r="Q57" i="16" s="1"/>
  <c r="L57" i="16"/>
  <c r="F57" i="16"/>
  <c r="P57" i="16" s="1"/>
  <c r="J57" i="16"/>
  <c r="E59" i="16"/>
  <c r="F59" i="16"/>
  <c r="J59" i="16"/>
  <c r="D59" i="16"/>
  <c r="H59" i="16"/>
  <c r="Q59" i="16" s="1"/>
  <c r="C8" i="16"/>
  <c r="G8" i="16"/>
  <c r="K8" i="16"/>
  <c r="M65" i="16"/>
  <c r="I65" i="16"/>
  <c r="N65" i="16" s="1"/>
  <c r="E65" i="16"/>
  <c r="O65" i="16" s="1"/>
  <c r="J64" i="16"/>
  <c r="O64" i="16" s="1"/>
  <c r="F64" i="16"/>
  <c r="K63" i="16"/>
  <c r="P63" i="16" s="1"/>
  <c r="G63" i="16"/>
  <c r="C63" i="16"/>
  <c r="M62" i="16"/>
  <c r="I62" i="16"/>
  <c r="N62" i="16" s="1"/>
  <c r="E62" i="16"/>
  <c r="M61" i="16"/>
  <c r="I61" i="16"/>
  <c r="N61" i="16" s="1"/>
  <c r="E61" i="16"/>
  <c r="J60" i="16"/>
  <c r="O60" i="16" s="1"/>
  <c r="F60" i="16"/>
  <c r="K59" i="16"/>
  <c r="M58" i="16"/>
  <c r="I57" i="16"/>
  <c r="F56" i="16"/>
  <c r="P56" i="16" s="1"/>
  <c r="C55" i="16"/>
  <c r="M53" i="16"/>
  <c r="J52" i="16"/>
  <c r="G51" i="16"/>
  <c r="E50" i="16"/>
  <c r="K47" i="16"/>
  <c r="I46" i="16"/>
  <c r="E45" i="16"/>
  <c r="O45" i="16" s="1"/>
  <c r="M42" i="16"/>
  <c r="I41" i="16"/>
  <c r="F40" i="16"/>
  <c r="C37" i="16"/>
  <c r="D32" i="16"/>
  <c r="N32" i="16" s="1"/>
  <c r="E27" i="16"/>
  <c r="C21" i="16"/>
  <c r="E11" i="16"/>
  <c r="C69" i="16"/>
  <c r="G69" i="16"/>
  <c r="K69" i="16"/>
  <c r="D69" i="16"/>
  <c r="H69" i="16"/>
  <c r="L69" i="16"/>
  <c r="F69" i="16"/>
  <c r="P69" i="16" s="1"/>
  <c r="J69" i="16"/>
  <c r="I69" i="16"/>
  <c r="M69" i="16"/>
  <c r="E69" i="16"/>
  <c r="E71" i="16"/>
  <c r="I71" i="16"/>
  <c r="M71" i="16"/>
  <c r="F71" i="16"/>
  <c r="J71" i="16"/>
  <c r="D71" i="16"/>
  <c r="H71" i="16"/>
  <c r="Q71" i="16" s="1"/>
  <c r="L71" i="16"/>
  <c r="C71" i="16"/>
  <c r="K71" i="16"/>
  <c r="G71" i="16"/>
  <c r="D73" i="16"/>
  <c r="H73" i="16"/>
  <c r="L73" i="16"/>
  <c r="E73" i="16"/>
  <c r="I73" i="16"/>
  <c r="M73" i="16"/>
  <c r="Q73" i="16" s="1"/>
  <c r="C73" i="16"/>
  <c r="G73" i="16"/>
  <c r="K73" i="16"/>
  <c r="F73" i="16"/>
  <c r="J73" i="16"/>
  <c r="F75" i="16"/>
  <c r="J75" i="16"/>
  <c r="C75" i="16"/>
  <c r="G75" i="16"/>
  <c r="K75" i="16"/>
  <c r="E75" i="16"/>
  <c r="O75" i="16" s="1"/>
  <c r="I75" i="16"/>
  <c r="M75" i="16"/>
  <c r="L75" i="16"/>
  <c r="H75" i="16"/>
  <c r="D75" i="16"/>
  <c r="N75" i="16" s="1"/>
  <c r="E77" i="16"/>
  <c r="I77" i="16"/>
  <c r="M77" i="16"/>
  <c r="F77" i="16"/>
  <c r="J77" i="16"/>
  <c r="D77" i="16"/>
  <c r="N77" i="16" s="1"/>
  <c r="H77" i="16"/>
  <c r="L77" i="16"/>
  <c r="C77" i="16"/>
  <c r="G77" i="16"/>
  <c r="K77" i="16"/>
  <c r="C79" i="16"/>
  <c r="G79" i="16"/>
  <c r="K79" i="16"/>
  <c r="D79" i="16"/>
  <c r="H79" i="16"/>
  <c r="L79" i="16"/>
  <c r="F79" i="16"/>
  <c r="P79" i="16" s="1"/>
  <c r="J79" i="16"/>
  <c r="I79" i="16"/>
  <c r="M79" i="16"/>
  <c r="E79" i="16"/>
  <c r="D8" i="16"/>
  <c r="H8" i="16"/>
  <c r="L65" i="16"/>
  <c r="H65" i="16"/>
  <c r="M64" i="16"/>
  <c r="I64" i="16"/>
  <c r="J63" i="16"/>
  <c r="L62" i="16"/>
  <c r="H62" i="16"/>
  <c r="L61" i="16"/>
  <c r="H61" i="16"/>
  <c r="M60" i="16"/>
  <c r="I60" i="16"/>
  <c r="I59" i="16"/>
  <c r="I58" i="16"/>
  <c r="E57" i="16"/>
  <c r="M54" i="16"/>
  <c r="I53" i="16"/>
  <c r="F52" i="16"/>
  <c r="C51" i="16"/>
  <c r="M49" i="16"/>
  <c r="J48" i="16"/>
  <c r="G47" i="16"/>
  <c r="E46" i="16"/>
  <c r="K43" i="16"/>
  <c r="I42" i="16"/>
  <c r="E41" i="16"/>
  <c r="M35" i="16"/>
  <c r="C26" i="16"/>
  <c r="K18" i="16"/>
  <c r="I93" i="12"/>
  <c r="O66" i="14"/>
  <c r="F93" i="16"/>
  <c r="G93" i="16"/>
  <c r="H93" i="16"/>
  <c r="L93" i="16"/>
  <c r="D93" i="16"/>
  <c r="D9" i="15"/>
  <c r="E9" i="15"/>
  <c r="F9" i="15" s="1"/>
  <c r="I9" i="15"/>
  <c r="H9" i="15"/>
  <c r="C9" i="15"/>
  <c r="D11" i="10"/>
  <c r="K80" i="9"/>
  <c r="G69" i="10"/>
  <c r="F80" i="9"/>
  <c r="C63" i="10"/>
  <c r="C55" i="10"/>
  <c r="C23" i="10"/>
  <c r="D73" i="10"/>
  <c r="G93" i="10"/>
  <c r="C68" i="10"/>
  <c r="L80" i="9"/>
  <c r="E88" i="10"/>
  <c r="E62" i="10"/>
  <c r="E22" i="10"/>
  <c r="D78" i="10"/>
  <c r="C15" i="10"/>
  <c r="E59" i="10"/>
  <c r="E55" i="10"/>
  <c r="E47" i="10"/>
  <c r="E43" i="10"/>
  <c r="E35" i="10"/>
  <c r="E27" i="10"/>
  <c r="E23" i="10"/>
  <c r="E15" i="10"/>
  <c r="C62" i="10"/>
  <c r="C58" i="10"/>
  <c r="C54" i="10"/>
  <c r="C50" i="10"/>
  <c r="C46" i="10"/>
  <c r="C42" i="10"/>
  <c r="C38" i="10"/>
  <c r="C34" i="10"/>
  <c r="C30" i="10"/>
  <c r="C26" i="10"/>
  <c r="C22" i="10"/>
  <c r="C18" i="10"/>
  <c r="C14" i="10"/>
  <c r="C10" i="10"/>
  <c r="E8" i="10"/>
  <c r="E10" i="10"/>
  <c r="E68" i="10"/>
  <c r="E79" i="10"/>
  <c r="D74" i="10"/>
  <c r="D91" i="10"/>
  <c r="D83" i="10"/>
  <c r="D70" i="10"/>
  <c r="G80" i="10"/>
  <c r="C47" i="10"/>
  <c r="C39" i="10"/>
  <c r="C31" i="10"/>
  <c r="F69" i="10"/>
  <c r="C80" i="9"/>
  <c r="E77" i="10"/>
  <c r="E73" i="10"/>
  <c r="F80" i="10"/>
  <c r="E69" i="10"/>
  <c r="E54" i="10"/>
  <c r="E46" i="10"/>
  <c r="E38" i="10"/>
  <c r="E30" i="10"/>
  <c r="E11" i="10"/>
  <c r="D87" i="10"/>
  <c r="C11" i="10"/>
  <c r="E63" i="10"/>
  <c r="E51" i="10"/>
  <c r="E39" i="10"/>
  <c r="E31" i="10"/>
  <c r="E19" i="10"/>
  <c r="D68" i="10"/>
  <c r="D77" i="10"/>
  <c r="E74" i="10"/>
  <c r="D69" i="10"/>
  <c r="E91" i="10"/>
  <c r="E83" i="10"/>
  <c r="E70" i="10"/>
  <c r="C78" i="10"/>
  <c r="C74" i="10"/>
  <c r="C70" i="10"/>
  <c r="G80" i="9"/>
  <c r="H69" i="10"/>
  <c r="H80" i="10" s="1"/>
  <c r="D82" i="10"/>
  <c r="C92" i="10"/>
  <c r="E90" i="10"/>
  <c r="C88" i="10"/>
  <c r="E86" i="10"/>
  <c r="G93" i="9"/>
  <c r="C93" i="9"/>
  <c r="C84" i="10"/>
  <c r="C79" i="10"/>
  <c r="C82" i="10"/>
  <c r="D92" i="10"/>
  <c r="D88" i="10"/>
  <c r="D84" i="10"/>
  <c r="H84" i="10"/>
  <c r="H93" i="10" s="1"/>
  <c r="G94" i="15"/>
  <c r="D94" i="15"/>
  <c r="H94" i="15"/>
  <c r="C94" i="15"/>
  <c r="F94" i="15"/>
  <c r="E94" i="15"/>
  <c r="I94" i="15"/>
  <c r="C93" i="14"/>
  <c r="G93" i="14"/>
  <c r="K93" i="14"/>
  <c r="O70" i="14"/>
  <c r="O80" i="14" s="1"/>
  <c r="E80" i="14"/>
  <c r="M80" i="14"/>
  <c r="C80" i="14"/>
  <c r="G80" i="14"/>
  <c r="K80" i="14"/>
  <c r="Q95" i="14"/>
  <c r="C95" i="14"/>
  <c r="G95" i="14"/>
  <c r="K95" i="14"/>
  <c r="E95" i="14"/>
  <c r="M95" i="14"/>
  <c r="I95" i="14"/>
  <c r="E93" i="14"/>
  <c r="I93" i="14"/>
  <c r="M93" i="14"/>
  <c r="Q93" i="14"/>
  <c r="F95" i="14"/>
  <c r="J95" i="14"/>
  <c r="N95" i="14"/>
  <c r="D51" i="17" s="1"/>
  <c r="D95" i="14"/>
  <c r="H95" i="14"/>
  <c r="C51" i="17" s="1"/>
  <c r="L95" i="14"/>
  <c r="P95" i="14"/>
  <c r="I93" i="13"/>
  <c r="L93" i="13"/>
  <c r="H80" i="13"/>
  <c r="G66" i="13"/>
  <c r="F66" i="13"/>
  <c r="D66" i="13"/>
  <c r="H66" i="13"/>
  <c r="L66" i="13"/>
  <c r="C80" i="13"/>
  <c r="J80" i="13"/>
  <c r="N80" i="13"/>
  <c r="J93" i="13"/>
  <c r="N93" i="13"/>
  <c r="I80" i="13"/>
  <c r="F93" i="13"/>
  <c r="E93" i="13"/>
  <c r="J66" i="13"/>
  <c r="F80" i="13"/>
  <c r="G80" i="13"/>
  <c r="C93" i="13"/>
  <c r="G93" i="13"/>
  <c r="E80" i="13"/>
  <c r="C95" i="11"/>
  <c r="G95" i="11"/>
  <c r="K95" i="11"/>
  <c r="I80" i="11"/>
  <c r="D95" i="11"/>
  <c r="L80" i="11"/>
  <c r="N95" i="11"/>
  <c r="E95" i="11"/>
  <c r="I95" i="11"/>
  <c r="H95" i="11"/>
  <c r="J95" i="11"/>
  <c r="F95" i="11"/>
  <c r="L95" i="11"/>
  <c r="E93" i="11"/>
  <c r="M95" i="11"/>
  <c r="C93" i="11"/>
  <c r="G93" i="11"/>
  <c r="K93" i="11"/>
  <c r="D93" i="11"/>
  <c r="H93" i="11"/>
  <c r="I93" i="11"/>
  <c r="F93" i="11"/>
  <c r="J93" i="11"/>
  <c r="N93" i="11"/>
  <c r="F93" i="10"/>
  <c r="D80" i="9"/>
  <c r="I80" i="9"/>
  <c r="F95" i="9"/>
  <c r="J80" i="9"/>
  <c r="E80" i="9"/>
  <c r="L95" i="9"/>
  <c r="K95" i="9"/>
  <c r="J95" i="9"/>
  <c r="I95" i="9"/>
  <c r="G95" i="9"/>
  <c r="E95" i="9"/>
  <c r="D95" i="9"/>
  <c r="C95" i="9"/>
  <c r="D93" i="9"/>
  <c r="I93" i="9"/>
  <c r="E93" i="9"/>
  <c r="J93" i="9"/>
  <c r="F93" i="9"/>
  <c r="K93" i="9"/>
  <c r="L80" i="8"/>
  <c r="C80" i="8"/>
  <c r="L95" i="8"/>
  <c r="C95" i="8"/>
  <c r="I93" i="8"/>
  <c r="I95" i="8"/>
  <c r="F95" i="8"/>
  <c r="I80" i="8"/>
  <c r="L66" i="8"/>
  <c r="F80" i="8"/>
  <c r="F93" i="8"/>
  <c r="L93" i="8"/>
  <c r="C93" i="8"/>
  <c r="P31" i="16" l="1"/>
  <c r="N25" i="16"/>
  <c r="Q38" i="16"/>
  <c r="O36" i="16"/>
  <c r="M95" i="13"/>
  <c r="N71" i="16"/>
  <c r="M80" i="8"/>
  <c r="G95" i="12"/>
  <c r="Q93" i="16"/>
  <c r="K95" i="13"/>
  <c r="D95" i="12"/>
  <c r="D93" i="12"/>
  <c r="F66" i="16"/>
  <c r="K95" i="12"/>
  <c r="E80" i="12"/>
  <c r="F93" i="12"/>
  <c r="J80" i="12"/>
  <c r="E66" i="8"/>
  <c r="F95" i="10"/>
  <c r="G95" i="10"/>
  <c r="E93" i="10"/>
  <c r="O8" i="16"/>
  <c r="C95" i="12"/>
  <c r="F80" i="12"/>
  <c r="K80" i="12"/>
  <c r="E66" i="12"/>
  <c r="D66" i="12"/>
  <c r="K93" i="12"/>
  <c r="M66" i="8"/>
  <c r="E80" i="8"/>
  <c r="Q47" i="16"/>
  <c r="P41" i="16"/>
  <c r="Q34" i="16"/>
  <c r="M80" i="16"/>
  <c r="N51" i="16"/>
  <c r="G66" i="16"/>
  <c r="P52" i="16"/>
  <c r="P64" i="16"/>
  <c r="G66" i="12"/>
  <c r="H66" i="8"/>
  <c r="N37" i="16"/>
  <c r="P54" i="16"/>
  <c r="Q30" i="16"/>
  <c r="N76" i="16"/>
  <c r="H95" i="12"/>
  <c r="E93" i="12"/>
  <c r="K66" i="8"/>
  <c r="I95" i="12"/>
  <c r="I95" i="13"/>
  <c r="C42" i="17" s="1"/>
  <c r="D95" i="13"/>
  <c r="H66" i="16"/>
  <c r="P72" i="16"/>
  <c r="H81" i="15"/>
  <c r="G96" i="15"/>
  <c r="H42" i="17" s="1"/>
  <c r="P93" i="16"/>
  <c r="N93" i="16"/>
  <c r="J66" i="12"/>
  <c r="J93" i="12"/>
  <c r="F95" i="12"/>
  <c r="F66" i="12"/>
  <c r="C66" i="12"/>
  <c r="O93" i="16"/>
  <c r="F81" i="15"/>
  <c r="C93" i="12"/>
  <c r="H95" i="10"/>
  <c r="J95" i="12"/>
  <c r="E95" i="12"/>
  <c r="E81" i="15"/>
  <c r="D95" i="10"/>
  <c r="D80" i="10"/>
  <c r="H66" i="12"/>
  <c r="D80" i="12"/>
  <c r="D66" i="10"/>
  <c r="H93" i="12"/>
  <c r="H80" i="12"/>
  <c r="G80" i="12"/>
  <c r="E66" i="10"/>
  <c r="D67" i="15"/>
  <c r="O41" i="16"/>
  <c r="O50" i="16"/>
  <c r="N23" i="16"/>
  <c r="Q15" i="16"/>
  <c r="N13" i="16"/>
  <c r="P48" i="16"/>
  <c r="Q63" i="16"/>
  <c r="G80" i="16"/>
  <c r="N22" i="16"/>
  <c r="G81" i="15"/>
  <c r="C80" i="12"/>
  <c r="C66" i="10"/>
  <c r="G93" i="12"/>
  <c r="H14" i="17"/>
  <c r="K66" i="12"/>
  <c r="L80" i="16"/>
  <c r="I96" i="15"/>
  <c r="C81" i="15"/>
  <c r="H67" i="15"/>
  <c r="O69" i="16"/>
  <c r="P40" i="16"/>
  <c r="O62" i="16"/>
  <c r="O23" i="16"/>
  <c r="O42" i="16"/>
  <c r="P65" i="16"/>
  <c r="N68" i="16"/>
  <c r="C96" i="15"/>
  <c r="C67" i="15"/>
  <c r="F96" i="15"/>
  <c r="D80" i="16"/>
  <c r="O46" i="16"/>
  <c r="O57" i="16"/>
  <c r="O27" i="16"/>
  <c r="Q53" i="16"/>
  <c r="O61" i="16"/>
  <c r="O21" i="16"/>
  <c r="O19" i="16"/>
  <c r="D66" i="16"/>
  <c r="O16" i="16"/>
  <c r="O58" i="16"/>
  <c r="N63" i="16"/>
  <c r="P68" i="16"/>
  <c r="H80" i="16"/>
  <c r="N28" i="16"/>
  <c r="O22" i="16"/>
  <c r="N20" i="16"/>
  <c r="P12" i="16"/>
  <c r="J66" i="16"/>
  <c r="O72" i="16"/>
  <c r="O70" i="16"/>
  <c r="K80" i="16"/>
  <c r="H96" i="15"/>
  <c r="D81" i="15"/>
  <c r="I67" i="15"/>
  <c r="K66" i="16"/>
  <c r="K95" i="16" s="1"/>
  <c r="Q49" i="16"/>
  <c r="Q62" i="16"/>
  <c r="N8" i="16"/>
  <c r="J80" i="16"/>
  <c r="N79" i="16"/>
  <c r="Q75" i="16"/>
  <c r="P71" i="16"/>
  <c r="O39" i="16"/>
  <c r="Q39" i="16"/>
  <c r="O35" i="16"/>
  <c r="Q21" i="16"/>
  <c r="P21" i="16"/>
  <c r="Q17" i="16"/>
  <c r="N17" i="16"/>
  <c r="P61" i="16"/>
  <c r="Q36" i="16"/>
  <c r="P30" i="16"/>
  <c r="P26" i="16"/>
  <c r="P22" i="16"/>
  <c r="O20" i="16"/>
  <c r="Q14" i="16"/>
  <c r="N14" i="16"/>
  <c r="Q12" i="16"/>
  <c r="N10" i="16"/>
  <c r="O10" i="16"/>
  <c r="N70" i="16"/>
  <c r="G67" i="15"/>
  <c r="N31" i="16"/>
  <c r="Q13" i="16"/>
  <c r="Q18" i="16"/>
  <c r="F80" i="16"/>
  <c r="F95" i="16" s="1"/>
  <c r="Q8" i="16"/>
  <c r="O11" i="16"/>
  <c r="P60" i="16"/>
  <c r="P8" i="16"/>
  <c r="O49" i="16"/>
  <c r="N45" i="16"/>
  <c r="P13" i="16"/>
  <c r="Q32" i="16"/>
  <c r="P20" i="16"/>
  <c r="N12" i="16"/>
  <c r="E67" i="15"/>
  <c r="D95" i="16"/>
  <c r="Q79" i="16"/>
  <c r="P77" i="16"/>
  <c r="P73" i="16"/>
  <c r="O71" i="16"/>
  <c r="N69" i="16"/>
  <c r="Q61" i="16"/>
  <c r="N59" i="16"/>
  <c r="N57" i="16"/>
  <c r="N53" i="16"/>
  <c r="P47" i="16"/>
  <c r="P43" i="16"/>
  <c r="N41" i="16"/>
  <c r="P39" i="16"/>
  <c r="P37" i="16"/>
  <c r="P33" i="16"/>
  <c r="O31" i="16"/>
  <c r="O29" i="16"/>
  <c r="N19" i="16"/>
  <c r="O17" i="16"/>
  <c r="P15" i="16"/>
  <c r="L66" i="16"/>
  <c r="N60" i="16"/>
  <c r="N64" i="16"/>
  <c r="N58" i="16"/>
  <c r="N56" i="16"/>
  <c r="Q54" i="16"/>
  <c r="Q52" i="16"/>
  <c r="O44" i="16"/>
  <c r="N42" i="16"/>
  <c r="N40" i="16"/>
  <c r="P34" i="16"/>
  <c r="O30" i="16"/>
  <c r="O26" i="16"/>
  <c r="Q24" i="16"/>
  <c r="N18" i="16"/>
  <c r="N16" i="16"/>
  <c r="O14" i="16"/>
  <c r="Q10" i="16"/>
  <c r="P78" i="16"/>
  <c r="Q76" i="16"/>
  <c r="Q74" i="16"/>
  <c r="I80" i="16"/>
  <c r="N72" i="16"/>
  <c r="Q77" i="16"/>
  <c r="N73" i="16"/>
  <c r="Q37" i="16"/>
  <c r="Q35" i="16"/>
  <c r="Q33" i="16"/>
  <c r="O25" i="16"/>
  <c r="P19" i="16"/>
  <c r="O13" i="16"/>
  <c r="Q11" i="16"/>
  <c r="O9" i="16"/>
  <c r="Q60" i="16"/>
  <c r="O63" i="16"/>
  <c r="Q64" i="16"/>
  <c r="N54" i="16"/>
  <c r="N52" i="16"/>
  <c r="Q50" i="16"/>
  <c r="Q48" i="16"/>
  <c r="P36" i="16"/>
  <c r="P32" i="16"/>
  <c r="P16" i="16"/>
  <c r="N74" i="16"/>
  <c r="C95" i="10"/>
  <c r="O79" i="16"/>
  <c r="P75" i="16"/>
  <c r="O73" i="16"/>
  <c r="Q69" i="16"/>
  <c r="P59" i="16"/>
  <c r="N35" i="16"/>
  <c r="Q31" i="16"/>
  <c r="Q29" i="16"/>
  <c r="Q27" i="16"/>
  <c r="P25" i="16"/>
  <c r="P23" i="16"/>
  <c r="N15" i="16"/>
  <c r="O15" i="16"/>
  <c r="N11" i="16"/>
  <c r="P9" i="16"/>
  <c r="Q68" i="16"/>
  <c r="O52" i="16"/>
  <c r="N48" i="16"/>
  <c r="Q44" i="16"/>
  <c r="O38" i="16"/>
  <c r="P28" i="16"/>
  <c r="O24" i="16"/>
  <c r="Q22" i="16"/>
  <c r="Q20" i="16"/>
  <c r="P18" i="16"/>
  <c r="I66" i="16"/>
  <c r="O76" i="16"/>
  <c r="O74" i="16"/>
  <c r="I81" i="15"/>
  <c r="E96" i="15"/>
  <c r="E66" i="16"/>
  <c r="O77" i="16"/>
  <c r="Q65" i="16"/>
  <c r="O59" i="16"/>
  <c r="O55" i="16"/>
  <c r="O51" i="16"/>
  <c r="O47" i="16"/>
  <c r="O43" i="16"/>
  <c r="O37" i="16"/>
  <c r="O33" i="16"/>
  <c r="N27" i="16"/>
  <c r="Q25" i="16"/>
  <c r="N21" i="16"/>
  <c r="Q19" i="16"/>
  <c r="P17" i="16"/>
  <c r="P11" i="16"/>
  <c r="M66" i="16"/>
  <c r="O68" i="16"/>
  <c r="E80" i="16"/>
  <c r="Q58" i="16"/>
  <c r="Q56" i="16"/>
  <c r="O48" i="16"/>
  <c r="N46" i="16"/>
  <c r="N44" i="16"/>
  <c r="Q42" i="16"/>
  <c r="Q40" i="16"/>
  <c r="P38" i="16"/>
  <c r="O34" i="16"/>
  <c r="P24" i="16"/>
  <c r="O18" i="16"/>
  <c r="Q16" i="16"/>
  <c r="P14" i="16"/>
  <c r="O12" i="16"/>
  <c r="P10" i="16"/>
  <c r="O78" i="16"/>
  <c r="P76" i="16"/>
  <c r="P74" i="16"/>
  <c r="Q70" i="16"/>
  <c r="F67" i="15"/>
  <c r="D96" i="15"/>
  <c r="E95" i="10"/>
  <c r="C93" i="10"/>
  <c r="C80" i="10"/>
  <c r="D93" i="10"/>
  <c r="E80" i="10"/>
  <c r="O93" i="14"/>
  <c r="O95" i="14"/>
  <c r="L95" i="13"/>
  <c r="E95" i="13"/>
  <c r="G42" i="17" s="1"/>
  <c r="G95" i="13"/>
  <c r="E42" i="17" s="1"/>
  <c r="N95" i="13"/>
  <c r="H93" i="13"/>
  <c r="H95" i="13"/>
  <c r="C95" i="13"/>
  <c r="F95" i="13"/>
  <c r="J95" i="13"/>
  <c r="H80" i="8"/>
  <c r="K80" i="8"/>
  <c r="G95" i="16" l="1"/>
  <c r="L95" i="16"/>
  <c r="H95" i="16"/>
  <c r="M95" i="16"/>
  <c r="O66" i="16"/>
  <c r="J95" i="16"/>
  <c r="N66" i="16"/>
  <c r="E95" i="16"/>
  <c r="N80" i="16"/>
  <c r="P66" i="16"/>
  <c r="P80" i="16"/>
  <c r="O80" i="16"/>
  <c r="Q80" i="16"/>
  <c r="I95" i="16"/>
  <c r="Q66" i="16"/>
  <c r="O95" i="16" l="1"/>
  <c r="N95" i="16"/>
  <c r="P95" i="16"/>
  <c r="Q95" i="16"/>
  <c r="C84" i="6"/>
  <c r="D84" i="6"/>
  <c r="E84" i="6"/>
  <c r="F84" i="6"/>
  <c r="G84" i="6"/>
  <c r="H84" i="6"/>
  <c r="I84" i="6"/>
  <c r="J84" i="6"/>
  <c r="K84" i="6"/>
  <c r="L84" i="6"/>
  <c r="M84" i="6"/>
  <c r="C85" i="6"/>
  <c r="D85" i="6"/>
  <c r="E85" i="6"/>
  <c r="F85" i="6"/>
  <c r="G85" i="6"/>
  <c r="H85" i="6"/>
  <c r="I85" i="6"/>
  <c r="J85" i="6"/>
  <c r="K85" i="6"/>
  <c r="L85" i="6"/>
  <c r="M85" i="6"/>
  <c r="C86" i="6"/>
  <c r="D86" i="6"/>
  <c r="E86" i="6"/>
  <c r="F86" i="6"/>
  <c r="G86" i="6"/>
  <c r="H86" i="6"/>
  <c r="I86" i="6"/>
  <c r="J86" i="6"/>
  <c r="K86" i="6"/>
  <c r="L86" i="6"/>
  <c r="M86" i="6"/>
  <c r="C87" i="6"/>
  <c r="D87" i="6"/>
  <c r="E87" i="6"/>
  <c r="F87" i="6"/>
  <c r="G87" i="6"/>
  <c r="H87" i="6"/>
  <c r="I87" i="6"/>
  <c r="J87" i="6"/>
  <c r="K87" i="6"/>
  <c r="L87" i="6"/>
  <c r="M87" i="6"/>
  <c r="C88" i="6"/>
  <c r="D88" i="6"/>
  <c r="E88" i="6"/>
  <c r="F88" i="6"/>
  <c r="G88" i="6"/>
  <c r="H88" i="6"/>
  <c r="I88" i="6"/>
  <c r="J88" i="6"/>
  <c r="K88" i="6"/>
  <c r="L88" i="6"/>
  <c r="M88" i="6"/>
  <c r="C89" i="6"/>
  <c r="D89" i="6"/>
  <c r="E89" i="6"/>
  <c r="F89" i="6"/>
  <c r="G89" i="6"/>
  <c r="H89" i="6"/>
  <c r="I89" i="6"/>
  <c r="J89" i="6"/>
  <c r="K89" i="6"/>
  <c r="L89" i="6"/>
  <c r="M89" i="6"/>
  <c r="C90" i="6"/>
  <c r="D90" i="6"/>
  <c r="E90" i="6"/>
  <c r="F90" i="6"/>
  <c r="G90" i="6"/>
  <c r="H90" i="6"/>
  <c r="I90" i="6"/>
  <c r="J90" i="6"/>
  <c r="K90" i="6"/>
  <c r="L90" i="6"/>
  <c r="M90" i="6"/>
  <c r="C91" i="6"/>
  <c r="D91" i="6"/>
  <c r="E91" i="6"/>
  <c r="F91" i="6"/>
  <c r="G91" i="6"/>
  <c r="H91" i="6"/>
  <c r="I91" i="6"/>
  <c r="J91" i="6"/>
  <c r="K91" i="6"/>
  <c r="L91" i="6"/>
  <c r="M91" i="6"/>
  <c r="C92" i="6"/>
  <c r="D92" i="6"/>
  <c r="E92" i="6"/>
  <c r="F92" i="6"/>
  <c r="G92" i="6"/>
  <c r="H92" i="6"/>
  <c r="D92" i="7" s="1"/>
  <c r="I92" i="6"/>
  <c r="J92" i="6"/>
  <c r="K92" i="6"/>
  <c r="L92" i="6"/>
  <c r="M92" i="6"/>
  <c r="C70" i="6"/>
  <c r="D70" i="6"/>
  <c r="E70" i="6"/>
  <c r="F70" i="6"/>
  <c r="G70" i="6"/>
  <c r="H70" i="6"/>
  <c r="I70" i="6"/>
  <c r="J70" i="6"/>
  <c r="K70" i="6"/>
  <c r="L70" i="6"/>
  <c r="M70" i="6"/>
  <c r="C71" i="6"/>
  <c r="D71" i="6"/>
  <c r="E71" i="6"/>
  <c r="F71" i="6"/>
  <c r="G71" i="6"/>
  <c r="H71" i="6"/>
  <c r="D71" i="7" s="1"/>
  <c r="I71" i="6"/>
  <c r="J71" i="6"/>
  <c r="K71" i="6"/>
  <c r="L71" i="6"/>
  <c r="M71" i="6"/>
  <c r="C72" i="6"/>
  <c r="D72" i="6"/>
  <c r="E72" i="6"/>
  <c r="F72" i="6"/>
  <c r="G72" i="6"/>
  <c r="H72" i="6"/>
  <c r="I72" i="6"/>
  <c r="J72" i="6"/>
  <c r="K72" i="6"/>
  <c r="L72" i="6"/>
  <c r="M72" i="6"/>
  <c r="C73" i="6"/>
  <c r="D73" i="6"/>
  <c r="E73" i="6"/>
  <c r="F73" i="6"/>
  <c r="G73" i="6"/>
  <c r="H73" i="6"/>
  <c r="I73" i="6"/>
  <c r="J73" i="6"/>
  <c r="K73" i="6"/>
  <c r="L73" i="6"/>
  <c r="M73" i="6"/>
  <c r="C74" i="6"/>
  <c r="D74" i="6"/>
  <c r="E74" i="6"/>
  <c r="F74" i="6"/>
  <c r="G74" i="6"/>
  <c r="H74" i="6"/>
  <c r="I74" i="6"/>
  <c r="J74" i="6"/>
  <c r="K74" i="6"/>
  <c r="L74" i="6"/>
  <c r="M74" i="6"/>
  <c r="C75" i="6"/>
  <c r="D75" i="6"/>
  <c r="E75" i="6"/>
  <c r="F75" i="6"/>
  <c r="G75" i="6"/>
  <c r="H75" i="6"/>
  <c r="I75" i="6"/>
  <c r="J75" i="6"/>
  <c r="K75" i="6"/>
  <c r="L75" i="6"/>
  <c r="M75" i="6"/>
  <c r="C76" i="6"/>
  <c r="D76" i="6"/>
  <c r="E76" i="6"/>
  <c r="F76" i="6"/>
  <c r="G76" i="6"/>
  <c r="H76" i="6"/>
  <c r="I76" i="6"/>
  <c r="J76" i="6"/>
  <c r="K76" i="6"/>
  <c r="L76" i="6"/>
  <c r="M76" i="6"/>
  <c r="C77" i="6"/>
  <c r="D77" i="6"/>
  <c r="E77" i="6"/>
  <c r="F77" i="6"/>
  <c r="G77" i="6"/>
  <c r="H77" i="6"/>
  <c r="I77" i="6"/>
  <c r="J77" i="6"/>
  <c r="K77" i="6"/>
  <c r="L77" i="6"/>
  <c r="M77" i="6"/>
  <c r="C78" i="6"/>
  <c r="D78" i="6"/>
  <c r="E78" i="6"/>
  <c r="F78" i="6"/>
  <c r="G78" i="6"/>
  <c r="H78" i="6"/>
  <c r="I78" i="6"/>
  <c r="J78" i="6"/>
  <c r="K78" i="6"/>
  <c r="L78" i="6"/>
  <c r="M78" i="6"/>
  <c r="C79" i="6"/>
  <c r="D79" i="6"/>
  <c r="E79" i="6"/>
  <c r="F79" i="6"/>
  <c r="G79" i="6"/>
  <c r="H79" i="6"/>
  <c r="D79" i="7" s="1"/>
  <c r="I79" i="6"/>
  <c r="J79" i="6"/>
  <c r="K79" i="6"/>
  <c r="L79" i="6"/>
  <c r="M79" i="6"/>
  <c r="M83" i="6"/>
  <c r="L83" i="6"/>
  <c r="K83" i="6"/>
  <c r="J83" i="6"/>
  <c r="I83" i="6"/>
  <c r="H83" i="6"/>
  <c r="G83" i="6"/>
  <c r="F83" i="6"/>
  <c r="E83" i="6"/>
  <c r="F83" i="7" s="1"/>
  <c r="D83" i="6"/>
  <c r="C83" i="6"/>
  <c r="M82" i="6"/>
  <c r="L82" i="6"/>
  <c r="K82" i="6"/>
  <c r="J82" i="6"/>
  <c r="I82" i="6"/>
  <c r="H82" i="6"/>
  <c r="G82" i="6"/>
  <c r="F82" i="6"/>
  <c r="E82" i="6"/>
  <c r="F82" i="7" s="1"/>
  <c r="D82" i="6"/>
  <c r="C82" i="6"/>
  <c r="M69" i="6"/>
  <c r="L69" i="6"/>
  <c r="K69" i="6"/>
  <c r="J69" i="6"/>
  <c r="I69" i="6"/>
  <c r="H69" i="6"/>
  <c r="G69" i="6"/>
  <c r="F69" i="6"/>
  <c r="E69" i="6"/>
  <c r="F69" i="7" s="1"/>
  <c r="D69" i="6"/>
  <c r="C69" i="6"/>
  <c r="M68" i="6"/>
  <c r="L68" i="6"/>
  <c r="K68" i="6"/>
  <c r="J68" i="6"/>
  <c r="I68" i="6"/>
  <c r="H68" i="6"/>
  <c r="G68" i="6"/>
  <c r="F68" i="6"/>
  <c r="E68" i="6"/>
  <c r="F68" i="7" s="1"/>
  <c r="D68" i="6"/>
  <c r="C68" i="6"/>
  <c r="C10" i="6"/>
  <c r="D10" i="6"/>
  <c r="E10" i="6"/>
  <c r="C10" i="7" s="1"/>
  <c r="F10" i="6"/>
  <c r="G10" i="6"/>
  <c r="H10" i="6"/>
  <c r="I10" i="6"/>
  <c r="J10" i="6"/>
  <c r="K10" i="6"/>
  <c r="L10" i="6"/>
  <c r="M10" i="6"/>
  <c r="C11" i="6"/>
  <c r="D11" i="6"/>
  <c r="E11" i="6"/>
  <c r="C11" i="7" s="1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D15" i="7" s="1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D19" i="7" s="1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D23" i="7" s="1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D27" i="7" s="1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D31" i="7" s="1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D35" i="7" s="1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C42" i="7" s="1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C49" i="6"/>
  <c r="D49" i="6"/>
  <c r="E49" i="6"/>
  <c r="F49" i="6"/>
  <c r="G49" i="6"/>
  <c r="H49" i="6"/>
  <c r="I49" i="6"/>
  <c r="J49" i="6"/>
  <c r="K49" i="6"/>
  <c r="L49" i="6"/>
  <c r="M49" i="6"/>
  <c r="C50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61" i="6"/>
  <c r="D61" i="6"/>
  <c r="E61" i="6"/>
  <c r="F61" i="6"/>
  <c r="G61" i="6"/>
  <c r="H61" i="6"/>
  <c r="I61" i="6"/>
  <c r="J61" i="6"/>
  <c r="K61" i="6"/>
  <c r="L61" i="6"/>
  <c r="M61" i="6"/>
  <c r="C62" i="6"/>
  <c r="D62" i="6"/>
  <c r="E62" i="6"/>
  <c r="F62" i="6"/>
  <c r="G62" i="6"/>
  <c r="H62" i="6"/>
  <c r="I62" i="6"/>
  <c r="J62" i="6"/>
  <c r="K62" i="6"/>
  <c r="L62" i="6"/>
  <c r="M62" i="6"/>
  <c r="C63" i="6"/>
  <c r="D63" i="6"/>
  <c r="E63" i="6"/>
  <c r="F63" i="6"/>
  <c r="G63" i="6"/>
  <c r="H63" i="6"/>
  <c r="I63" i="6"/>
  <c r="J63" i="6"/>
  <c r="K63" i="6"/>
  <c r="L63" i="6"/>
  <c r="M63" i="6"/>
  <c r="C64" i="6"/>
  <c r="D64" i="6"/>
  <c r="E64" i="6"/>
  <c r="F64" i="6"/>
  <c r="G64" i="6"/>
  <c r="H64" i="6"/>
  <c r="I64" i="6"/>
  <c r="J64" i="6"/>
  <c r="K64" i="6"/>
  <c r="L64" i="6"/>
  <c r="M64" i="6"/>
  <c r="C65" i="6"/>
  <c r="D65" i="6"/>
  <c r="E65" i="6"/>
  <c r="F65" i="6"/>
  <c r="G65" i="6"/>
  <c r="H65" i="6"/>
  <c r="I65" i="6"/>
  <c r="J65" i="6"/>
  <c r="K65" i="6"/>
  <c r="L65" i="6"/>
  <c r="M65" i="6"/>
  <c r="M9" i="6"/>
  <c r="L9" i="6"/>
  <c r="K9" i="6"/>
  <c r="J9" i="6"/>
  <c r="I9" i="6"/>
  <c r="H9" i="6"/>
  <c r="G9" i="6"/>
  <c r="F9" i="6"/>
  <c r="E9" i="6"/>
  <c r="F9" i="7" s="1"/>
  <c r="D9" i="6"/>
  <c r="C9" i="6"/>
  <c r="M8" i="6"/>
  <c r="L8" i="6"/>
  <c r="K8" i="6"/>
  <c r="J8" i="6"/>
  <c r="I8" i="6"/>
  <c r="H8" i="6"/>
  <c r="G8" i="6"/>
  <c r="F8" i="6"/>
  <c r="E8" i="6"/>
  <c r="D8" i="6"/>
  <c r="C8" i="6"/>
  <c r="D84" i="4"/>
  <c r="E84" i="4"/>
  <c r="H84" i="4"/>
  <c r="I84" i="4"/>
  <c r="J84" i="4"/>
  <c r="K84" i="4"/>
  <c r="L84" i="4"/>
  <c r="M84" i="4"/>
  <c r="N84" i="4"/>
  <c r="O84" i="4"/>
  <c r="P84" i="4"/>
  <c r="Q84" i="4"/>
  <c r="D85" i="4"/>
  <c r="E85" i="4"/>
  <c r="H85" i="4"/>
  <c r="I85" i="4"/>
  <c r="J85" i="4"/>
  <c r="K85" i="4"/>
  <c r="L85" i="4"/>
  <c r="M85" i="4"/>
  <c r="N85" i="4"/>
  <c r="O85" i="4"/>
  <c r="P85" i="4"/>
  <c r="Q85" i="4"/>
  <c r="D86" i="4"/>
  <c r="E86" i="4"/>
  <c r="H86" i="4"/>
  <c r="I86" i="4"/>
  <c r="J86" i="4"/>
  <c r="K86" i="4"/>
  <c r="L86" i="4"/>
  <c r="M86" i="4"/>
  <c r="N86" i="4"/>
  <c r="O86" i="4"/>
  <c r="P86" i="4"/>
  <c r="Q86" i="4"/>
  <c r="D87" i="4"/>
  <c r="E87" i="4"/>
  <c r="H87" i="4"/>
  <c r="I87" i="4"/>
  <c r="J87" i="4"/>
  <c r="K87" i="4"/>
  <c r="L87" i="4"/>
  <c r="M87" i="4"/>
  <c r="N87" i="4"/>
  <c r="O87" i="4"/>
  <c r="P87" i="4"/>
  <c r="Q87" i="4"/>
  <c r="D88" i="4"/>
  <c r="E88" i="4"/>
  <c r="H88" i="4"/>
  <c r="I88" i="4"/>
  <c r="J88" i="4"/>
  <c r="K88" i="4"/>
  <c r="L88" i="4"/>
  <c r="M88" i="4"/>
  <c r="N88" i="4"/>
  <c r="O88" i="4"/>
  <c r="P88" i="4"/>
  <c r="Q88" i="4"/>
  <c r="D89" i="4"/>
  <c r="E89" i="4"/>
  <c r="H89" i="4"/>
  <c r="I89" i="4"/>
  <c r="J89" i="4"/>
  <c r="K89" i="4"/>
  <c r="L89" i="4"/>
  <c r="M89" i="4"/>
  <c r="N89" i="4"/>
  <c r="O89" i="4"/>
  <c r="P89" i="4"/>
  <c r="Q89" i="4"/>
  <c r="D90" i="4"/>
  <c r="E90" i="4"/>
  <c r="H90" i="4"/>
  <c r="I90" i="4"/>
  <c r="J90" i="4"/>
  <c r="K90" i="4"/>
  <c r="L90" i="4"/>
  <c r="M90" i="4"/>
  <c r="N90" i="4"/>
  <c r="O90" i="4"/>
  <c r="P90" i="4"/>
  <c r="Q90" i="4"/>
  <c r="D91" i="4"/>
  <c r="E91" i="4"/>
  <c r="H91" i="4"/>
  <c r="I91" i="4"/>
  <c r="J91" i="4"/>
  <c r="K91" i="4"/>
  <c r="L91" i="4"/>
  <c r="M91" i="4"/>
  <c r="N91" i="4"/>
  <c r="O91" i="4"/>
  <c r="P91" i="4"/>
  <c r="Q91" i="4"/>
  <c r="D92" i="4"/>
  <c r="E92" i="4"/>
  <c r="H92" i="4"/>
  <c r="I92" i="4"/>
  <c r="J92" i="4"/>
  <c r="K92" i="4"/>
  <c r="L92" i="4"/>
  <c r="M92" i="4"/>
  <c r="N92" i="4"/>
  <c r="O92" i="4"/>
  <c r="P92" i="4"/>
  <c r="Q92" i="4"/>
  <c r="Q83" i="4"/>
  <c r="P83" i="4"/>
  <c r="O83" i="4"/>
  <c r="N83" i="4"/>
  <c r="M83" i="4"/>
  <c r="L83" i="4"/>
  <c r="K83" i="4"/>
  <c r="J83" i="4"/>
  <c r="I83" i="4"/>
  <c r="H83" i="4"/>
  <c r="E83" i="4"/>
  <c r="D83" i="4"/>
  <c r="Q82" i="4"/>
  <c r="P82" i="4"/>
  <c r="O82" i="4"/>
  <c r="N82" i="4"/>
  <c r="M82" i="4"/>
  <c r="L82" i="4"/>
  <c r="K82" i="4"/>
  <c r="J82" i="4"/>
  <c r="I82" i="4"/>
  <c r="H82" i="4"/>
  <c r="E82" i="4"/>
  <c r="D82" i="4"/>
  <c r="D70" i="4"/>
  <c r="E70" i="4"/>
  <c r="H70" i="4"/>
  <c r="I70" i="4"/>
  <c r="J70" i="4"/>
  <c r="K70" i="4"/>
  <c r="L70" i="4"/>
  <c r="M70" i="4"/>
  <c r="N70" i="4"/>
  <c r="O70" i="4"/>
  <c r="P70" i="4"/>
  <c r="Q70" i="4"/>
  <c r="D71" i="4"/>
  <c r="E71" i="4"/>
  <c r="H71" i="4"/>
  <c r="I71" i="4"/>
  <c r="J71" i="4"/>
  <c r="K71" i="4"/>
  <c r="L71" i="4"/>
  <c r="M71" i="4"/>
  <c r="N71" i="4"/>
  <c r="O71" i="4"/>
  <c r="P71" i="4"/>
  <c r="Q71" i="4"/>
  <c r="D72" i="4"/>
  <c r="E72" i="4"/>
  <c r="H72" i="4"/>
  <c r="I72" i="4"/>
  <c r="J72" i="4"/>
  <c r="K72" i="4"/>
  <c r="L72" i="4"/>
  <c r="M72" i="4"/>
  <c r="N72" i="4"/>
  <c r="O72" i="4"/>
  <c r="P72" i="4"/>
  <c r="Q72" i="4"/>
  <c r="D73" i="4"/>
  <c r="E73" i="4"/>
  <c r="H73" i="4"/>
  <c r="I73" i="4"/>
  <c r="J73" i="4"/>
  <c r="K73" i="4"/>
  <c r="L73" i="4"/>
  <c r="M73" i="4"/>
  <c r="N73" i="4"/>
  <c r="O73" i="4"/>
  <c r="P73" i="4"/>
  <c r="Q73" i="4"/>
  <c r="D74" i="4"/>
  <c r="E74" i="4"/>
  <c r="H74" i="4"/>
  <c r="I74" i="4"/>
  <c r="J74" i="4"/>
  <c r="K74" i="4"/>
  <c r="L74" i="4"/>
  <c r="M74" i="4"/>
  <c r="N74" i="4"/>
  <c r="O74" i="4"/>
  <c r="P74" i="4"/>
  <c r="Q74" i="4"/>
  <c r="D75" i="4"/>
  <c r="E75" i="4"/>
  <c r="H75" i="4"/>
  <c r="I75" i="4"/>
  <c r="J75" i="4"/>
  <c r="K75" i="4"/>
  <c r="L75" i="4"/>
  <c r="M75" i="4"/>
  <c r="N75" i="4"/>
  <c r="O75" i="4"/>
  <c r="P75" i="4"/>
  <c r="Q75" i="4"/>
  <c r="D76" i="4"/>
  <c r="E76" i="4"/>
  <c r="H76" i="4"/>
  <c r="I76" i="4"/>
  <c r="J76" i="4"/>
  <c r="K76" i="4"/>
  <c r="L76" i="4"/>
  <c r="M76" i="4"/>
  <c r="N76" i="4"/>
  <c r="O76" i="4"/>
  <c r="P76" i="4"/>
  <c r="Q76" i="4"/>
  <c r="D77" i="4"/>
  <c r="E77" i="4"/>
  <c r="H77" i="4"/>
  <c r="I77" i="4"/>
  <c r="J77" i="4"/>
  <c r="K77" i="4"/>
  <c r="L77" i="4"/>
  <c r="M77" i="4"/>
  <c r="N77" i="4"/>
  <c r="O77" i="4"/>
  <c r="P77" i="4"/>
  <c r="Q77" i="4"/>
  <c r="D78" i="4"/>
  <c r="E78" i="4"/>
  <c r="H78" i="4"/>
  <c r="I78" i="4"/>
  <c r="J78" i="4"/>
  <c r="K78" i="4"/>
  <c r="L78" i="4"/>
  <c r="M78" i="4"/>
  <c r="N78" i="4"/>
  <c r="O78" i="4"/>
  <c r="P78" i="4"/>
  <c r="Q78" i="4"/>
  <c r="D79" i="4"/>
  <c r="E79" i="4"/>
  <c r="H79" i="4"/>
  <c r="I79" i="4"/>
  <c r="J79" i="4"/>
  <c r="K79" i="4"/>
  <c r="L79" i="4"/>
  <c r="M79" i="4"/>
  <c r="N79" i="4"/>
  <c r="O79" i="4"/>
  <c r="P79" i="4"/>
  <c r="Q79" i="4"/>
  <c r="Q69" i="4"/>
  <c r="P69" i="4"/>
  <c r="O69" i="4"/>
  <c r="N69" i="4"/>
  <c r="M69" i="4"/>
  <c r="L69" i="4"/>
  <c r="K69" i="4"/>
  <c r="J69" i="4"/>
  <c r="I69" i="4"/>
  <c r="H69" i="4"/>
  <c r="E69" i="4"/>
  <c r="D69" i="4"/>
  <c r="Q68" i="4"/>
  <c r="P68" i="4"/>
  <c r="O68" i="4"/>
  <c r="N68" i="4"/>
  <c r="M68" i="4"/>
  <c r="L68" i="4"/>
  <c r="K68" i="4"/>
  <c r="J68" i="4"/>
  <c r="I68" i="4"/>
  <c r="H68" i="4"/>
  <c r="E68" i="4"/>
  <c r="D68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9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8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P13" i="4"/>
  <c r="Q13" i="4"/>
  <c r="N14" i="4"/>
  <c r="O14" i="4"/>
  <c r="P14" i="4"/>
  <c r="Q14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N23" i="4"/>
  <c r="O23" i="4"/>
  <c r="P23" i="4"/>
  <c r="Q23" i="4"/>
  <c r="N24" i="4"/>
  <c r="O24" i="4"/>
  <c r="P24" i="4"/>
  <c r="Q24" i="4"/>
  <c r="N25" i="4"/>
  <c r="O25" i="4"/>
  <c r="P25" i="4"/>
  <c r="Q25" i="4"/>
  <c r="N26" i="4"/>
  <c r="O26" i="4"/>
  <c r="P26" i="4"/>
  <c r="Q26" i="4"/>
  <c r="N27" i="4"/>
  <c r="O27" i="4"/>
  <c r="P27" i="4"/>
  <c r="Q27" i="4"/>
  <c r="N28" i="4"/>
  <c r="O28" i="4"/>
  <c r="P28" i="4"/>
  <c r="Q28" i="4"/>
  <c r="N29" i="4"/>
  <c r="O29" i="4"/>
  <c r="P29" i="4"/>
  <c r="Q29" i="4"/>
  <c r="N30" i="4"/>
  <c r="O30" i="4"/>
  <c r="P30" i="4"/>
  <c r="Q30" i="4"/>
  <c r="N31" i="4"/>
  <c r="O31" i="4"/>
  <c r="P31" i="4"/>
  <c r="Q31" i="4"/>
  <c r="N32" i="4"/>
  <c r="O32" i="4"/>
  <c r="P32" i="4"/>
  <c r="Q32" i="4"/>
  <c r="N33" i="4"/>
  <c r="O33" i="4"/>
  <c r="P33" i="4"/>
  <c r="Q33" i="4"/>
  <c r="N34" i="4"/>
  <c r="O34" i="4"/>
  <c r="P34" i="4"/>
  <c r="Q34" i="4"/>
  <c r="N35" i="4"/>
  <c r="O35" i="4"/>
  <c r="P35" i="4"/>
  <c r="Q35" i="4"/>
  <c r="N36" i="4"/>
  <c r="O36" i="4"/>
  <c r="P36" i="4"/>
  <c r="Q36" i="4"/>
  <c r="N37" i="4"/>
  <c r="O37" i="4"/>
  <c r="P37" i="4"/>
  <c r="Q37" i="4"/>
  <c r="N38" i="4"/>
  <c r="O38" i="4"/>
  <c r="P38" i="4"/>
  <c r="Q38" i="4"/>
  <c r="N39" i="4"/>
  <c r="O39" i="4"/>
  <c r="P39" i="4"/>
  <c r="Q39" i="4"/>
  <c r="N40" i="4"/>
  <c r="O40" i="4"/>
  <c r="P40" i="4"/>
  <c r="Q40" i="4"/>
  <c r="N41" i="4"/>
  <c r="O41" i="4"/>
  <c r="P41" i="4"/>
  <c r="Q41" i="4"/>
  <c r="N42" i="4"/>
  <c r="O42" i="4"/>
  <c r="P42" i="4"/>
  <c r="Q42" i="4"/>
  <c r="N43" i="4"/>
  <c r="O43" i="4"/>
  <c r="P43" i="4"/>
  <c r="Q43" i="4"/>
  <c r="N44" i="4"/>
  <c r="O44" i="4"/>
  <c r="P44" i="4"/>
  <c r="Q44" i="4"/>
  <c r="N45" i="4"/>
  <c r="O45" i="4"/>
  <c r="P45" i="4"/>
  <c r="Q45" i="4"/>
  <c r="N46" i="4"/>
  <c r="O46" i="4"/>
  <c r="P46" i="4"/>
  <c r="Q46" i="4"/>
  <c r="N47" i="4"/>
  <c r="O47" i="4"/>
  <c r="P47" i="4"/>
  <c r="Q47" i="4"/>
  <c r="N48" i="4"/>
  <c r="O48" i="4"/>
  <c r="P48" i="4"/>
  <c r="Q48" i="4"/>
  <c r="N49" i="4"/>
  <c r="O49" i="4"/>
  <c r="P49" i="4"/>
  <c r="Q49" i="4"/>
  <c r="N50" i="4"/>
  <c r="O50" i="4"/>
  <c r="P50" i="4"/>
  <c r="Q50" i="4"/>
  <c r="N51" i="4"/>
  <c r="O51" i="4"/>
  <c r="P51" i="4"/>
  <c r="Q51" i="4"/>
  <c r="N52" i="4"/>
  <c r="O52" i="4"/>
  <c r="P52" i="4"/>
  <c r="Q52" i="4"/>
  <c r="N53" i="4"/>
  <c r="O53" i="4"/>
  <c r="P53" i="4"/>
  <c r="Q53" i="4"/>
  <c r="N54" i="4"/>
  <c r="O54" i="4"/>
  <c r="P54" i="4"/>
  <c r="Q54" i="4"/>
  <c r="N55" i="4"/>
  <c r="O55" i="4"/>
  <c r="P55" i="4"/>
  <c r="Q55" i="4"/>
  <c r="N56" i="4"/>
  <c r="O56" i="4"/>
  <c r="P56" i="4"/>
  <c r="Q56" i="4"/>
  <c r="N57" i="4"/>
  <c r="O57" i="4"/>
  <c r="P57" i="4"/>
  <c r="Q57" i="4"/>
  <c r="N58" i="4"/>
  <c r="O58" i="4"/>
  <c r="P58" i="4"/>
  <c r="Q58" i="4"/>
  <c r="N59" i="4"/>
  <c r="O59" i="4"/>
  <c r="P59" i="4"/>
  <c r="Q59" i="4"/>
  <c r="N60" i="4"/>
  <c r="O60" i="4"/>
  <c r="P60" i="4"/>
  <c r="Q60" i="4"/>
  <c r="N61" i="4"/>
  <c r="O61" i="4"/>
  <c r="P61" i="4"/>
  <c r="Q61" i="4"/>
  <c r="N62" i="4"/>
  <c r="O62" i="4"/>
  <c r="P62" i="4"/>
  <c r="Q62" i="4"/>
  <c r="N63" i="4"/>
  <c r="O63" i="4"/>
  <c r="P63" i="4"/>
  <c r="Q63" i="4"/>
  <c r="N64" i="4"/>
  <c r="O64" i="4"/>
  <c r="P64" i="4"/>
  <c r="Q64" i="4"/>
  <c r="N65" i="4"/>
  <c r="O65" i="4"/>
  <c r="P65" i="4"/>
  <c r="Q65" i="4"/>
  <c r="Q9" i="4"/>
  <c r="P9" i="4"/>
  <c r="O9" i="4"/>
  <c r="N9" i="4"/>
  <c r="Q8" i="4"/>
  <c r="P8" i="4"/>
  <c r="O8" i="4"/>
  <c r="N8" i="4"/>
  <c r="I10" i="4"/>
  <c r="J10" i="4"/>
  <c r="K10" i="4"/>
  <c r="L10" i="4"/>
  <c r="M10" i="4"/>
  <c r="I11" i="4"/>
  <c r="J11" i="4"/>
  <c r="K11" i="4"/>
  <c r="L11" i="4"/>
  <c r="M11" i="4"/>
  <c r="I12" i="4"/>
  <c r="J12" i="4"/>
  <c r="K12" i="4"/>
  <c r="L12" i="4"/>
  <c r="M12" i="4"/>
  <c r="I13" i="4"/>
  <c r="J13" i="4"/>
  <c r="K13" i="4"/>
  <c r="L13" i="4"/>
  <c r="M13" i="4"/>
  <c r="I14" i="4"/>
  <c r="J14" i="4"/>
  <c r="K14" i="4"/>
  <c r="L14" i="4"/>
  <c r="M14" i="4"/>
  <c r="I15" i="4"/>
  <c r="J15" i="4"/>
  <c r="K15" i="4"/>
  <c r="L15" i="4"/>
  <c r="M15" i="4"/>
  <c r="I16" i="4"/>
  <c r="J16" i="4"/>
  <c r="K16" i="4"/>
  <c r="L16" i="4"/>
  <c r="M16" i="4"/>
  <c r="I17" i="4"/>
  <c r="J17" i="4"/>
  <c r="K17" i="4"/>
  <c r="L17" i="4"/>
  <c r="M17" i="4"/>
  <c r="I18" i="4"/>
  <c r="J18" i="4"/>
  <c r="K18" i="4"/>
  <c r="L18" i="4"/>
  <c r="M18" i="4"/>
  <c r="I19" i="4"/>
  <c r="J19" i="4"/>
  <c r="K19" i="4"/>
  <c r="L19" i="4"/>
  <c r="M19" i="4"/>
  <c r="I20" i="4"/>
  <c r="J20" i="4"/>
  <c r="K20" i="4"/>
  <c r="L20" i="4"/>
  <c r="M20" i="4"/>
  <c r="I21" i="4"/>
  <c r="J21" i="4"/>
  <c r="K21" i="4"/>
  <c r="L21" i="4"/>
  <c r="M21" i="4"/>
  <c r="I22" i="4"/>
  <c r="J22" i="4"/>
  <c r="K22" i="4"/>
  <c r="L22" i="4"/>
  <c r="M22" i="4"/>
  <c r="I23" i="4"/>
  <c r="J23" i="4"/>
  <c r="K23" i="4"/>
  <c r="L23" i="4"/>
  <c r="M23" i="4"/>
  <c r="I24" i="4"/>
  <c r="J24" i="4"/>
  <c r="K24" i="4"/>
  <c r="L24" i="4"/>
  <c r="M24" i="4"/>
  <c r="I25" i="4"/>
  <c r="J25" i="4"/>
  <c r="K25" i="4"/>
  <c r="L25" i="4"/>
  <c r="M25" i="4"/>
  <c r="I26" i="4"/>
  <c r="J26" i="4"/>
  <c r="K26" i="4"/>
  <c r="L26" i="4"/>
  <c r="M26" i="4"/>
  <c r="I27" i="4"/>
  <c r="J27" i="4"/>
  <c r="K27" i="4"/>
  <c r="L27" i="4"/>
  <c r="M27" i="4"/>
  <c r="I28" i="4"/>
  <c r="J28" i="4"/>
  <c r="K28" i="4"/>
  <c r="L28" i="4"/>
  <c r="M28" i="4"/>
  <c r="I29" i="4"/>
  <c r="J29" i="4"/>
  <c r="K29" i="4"/>
  <c r="L29" i="4"/>
  <c r="M29" i="4"/>
  <c r="I30" i="4"/>
  <c r="J30" i="4"/>
  <c r="K30" i="4"/>
  <c r="L30" i="4"/>
  <c r="M30" i="4"/>
  <c r="I31" i="4"/>
  <c r="J31" i="4"/>
  <c r="K31" i="4"/>
  <c r="L31" i="4"/>
  <c r="M31" i="4"/>
  <c r="I32" i="4"/>
  <c r="J32" i="4"/>
  <c r="K32" i="4"/>
  <c r="L32" i="4"/>
  <c r="M32" i="4"/>
  <c r="I33" i="4"/>
  <c r="J33" i="4"/>
  <c r="K33" i="4"/>
  <c r="L33" i="4"/>
  <c r="M33" i="4"/>
  <c r="I34" i="4"/>
  <c r="J34" i="4"/>
  <c r="K34" i="4"/>
  <c r="L34" i="4"/>
  <c r="M34" i="4"/>
  <c r="I35" i="4"/>
  <c r="J35" i="4"/>
  <c r="K35" i="4"/>
  <c r="L35" i="4"/>
  <c r="M35" i="4"/>
  <c r="I36" i="4"/>
  <c r="J36" i="4"/>
  <c r="K36" i="4"/>
  <c r="L36" i="4"/>
  <c r="M36" i="4"/>
  <c r="I37" i="4"/>
  <c r="J37" i="4"/>
  <c r="K37" i="4"/>
  <c r="L37" i="4"/>
  <c r="M37" i="4"/>
  <c r="I38" i="4"/>
  <c r="J38" i="4"/>
  <c r="K38" i="4"/>
  <c r="L38" i="4"/>
  <c r="M38" i="4"/>
  <c r="I39" i="4"/>
  <c r="J39" i="4"/>
  <c r="K39" i="4"/>
  <c r="L39" i="4"/>
  <c r="M39" i="4"/>
  <c r="I40" i="4"/>
  <c r="J40" i="4"/>
  <c r="K40" i="4"/>
  <c r="L40" i="4"/>
  <c r="M40" i="4"/>
  <c r="I41" i="4"/>
  <c r="J41" i="4"/>
  <c r="K41" i="4"/>
  <c r="L41" i="4"/>
  <c r="M41" i="4"/>
  <c r="I42" i="4"/>
  <c r="J42" i="4"/>
  <c r="K42" i="4"/>
  <c r="L42" i="4"/>
  <c r="M42" i="4"/>
  <c r="I43" i="4"/>
  <c r="J43" i="4"/>
  <c r="K43" i="4"/>
  <c r="L43" i="4"/>
  <c r="M43" i="4"/>
  <c r="I44" i="4"/>
  <c r="J44" i="4"/>
  <c r="K44" i="4"/>
  <c r="L44" i="4"/>
  <c r="M44" i="4"/>
  <c r="I45" i="4"/>
  <c r="J45" i="4"/>
  <c r="K45" i="4"/>
  <c r="L45" i="4"/>
  <c r="M45" i="4"/>
  <c r="I46" i="4"/>
  <c r="J46" i="4"/>
  <c r="K46" i="4"/>
  <c r="L46" i="4"/>
  <c r="M46" i="4"/>
  <c r="I47" i="4"/>
  <c r="J47" i="4"/>
  <c r="K47" i="4"/>
  <c r="L47" i="4"/>
  <c r="M47" i="4"/>
  <c r="I48" i="4"/>
  <c r="J48" i="4"/>
  <c r="K48" i="4"/>
  <c r="L48" i="4"/>
  <c r="M48" i="4"/>
  <c r="I49" i="4"/>
  <c r="J49" i="4"/>
  <c r="K49" i="4"/>
  <c r="L49" i="4"/>
  <c r="M49" i="4"/>
  <c r="I50" i="4"/>
  <c r="J50" i="4"/>
  <c r="K50" i="4"/>
  <c r="L50" i="4"/>
  <c r="M50" i="4"/>
  <c r="I51" i="4"/>
  <c r="J51" i="4"/>
  <c r="K51" i="4"/>
  <c r="L51" i="4"/>
  <c r="M51" i="4"/>
  <c r="I52" i="4"/>
  <c r="J52" i="4"/>
  <c r="K52" i="4"/>
  <c r="L52" i="4"/>
  <c r="M52" i="4"/>
  <c r="I53" i="4"/>
  <c r="J53" i="4"/>
  <c r="K53" i="4"/>
  <c r="L53" i="4"/>
  <c r="M53" i="4"/>
  <c r="I54" i="4"/>
  <c r="J54" i="4"/>
  <c r="K54" i="4"/>
  <c r="L54" i="4"/>
  <c r="M54" i="4"/>
  <c r="I55" i="4"/>
  <c r="J55" i="4"/>
  <c r="K55" i="4"/>
  <c r="L55" i="4"/>
  <c r="M55" i="4"/>
  <c r="I56" i="4"/>
  <c r="J56" i="4"/>
  <c r="K56" i="4"/>
  <c r="L56" i="4"/>
  <c r="M56" i="4"/>
  <c r="I57" i="4"/>
  <c r="J57" i="4"/>
  <c r="K57" i="4"/>
  <c r="L57" i="4"/>
  <c r="M57" i="4"/>
  <c r="I58" i="4"/>
  <c r="J58" i="4"/>
  <c r="K58" i="4"/>
  <c r="L58" i="4"/>
  <c r="M58" i="4"/>
  <c r="I59" i="4"/>
  <c r="J59" i="4"/>
  <c r="K59" i="4"/>
  <c r="L59" i="4"/>
  <c r="M59" i="4"/>
  <c r="I60" i="4"/>
  <c r="J60" i="4"/>
  <c r="K60" i="4"/>
  <c r="L60" i="4"/>
  <c r="M60" i="4"/>
  <c r="I61" i="4"/>
  <c r="J61" i="4"/>
  <c r="K61" i="4"/>
  <c r="L61" i="4"/>
  <c r="M61" i="4"/>
  <c r="I62" i="4"/>
  <c r="J62" i="4"/>
  <c r="K62" i="4"/>
  <c r="L62" i="4"/>
  <c r="M62" i="4"/>
  <c r="I63" i="4"/>
  <c r="J63" i="4"/>
  <c r="K63" i="4"/>
  <c r="L63" i="4"/>
  <c r="M63" i="4"/>
  <c r="I64" i="4"/>
  <c r="J64" i="4"/>
  <c r="K64" i="4"/>
  <c r="L64" i="4"/>
  <c r="M64" i="4"/>
  <c r="I65" i="4"/>
  <c r="J65" i="4"/>
  <c r="K65" i="4"/>
  <c r="L65" i="4"/>
  <c r="M65" i="4"/>
  <c r="M9" i="4"/>
  <c r="L9" i="4"/>
  <c r="K9" i="4"/>
  <c r="J9" i="4"/>
  <c r="I9" i="4"/>
  <c r="H9" i="4"/>
  <c r="H10" i="4"/>
  <c r="H11" i="4"/>
  <c r="H12" i="4"/>
  <c r="H13" i="4"/>
  <c r="H14" i="4"/>
  <c r="M8" i="4"/>
  <c r="L8" i="4"/>
  <c r="J8" i="4"/>
  <c r="K8" i="4"/>
  <c r="I8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8" i="4"/>
  <c r="Q95" i="4"/>
  <c r="N95" i="4"/>
  <c r="M95" i="4"/>
  <c r="I95" i="4"/>
  <c r="C84" i="3"/>
  <c r="D84" i="3"/>
  <c r="E84" i="3"/>
  <c r="F84" i="3"/>
  <c r="G84" i="3"/>
  <c r="H84" i="3" s="1"/>
  <c r="I84" i="3"/>
  <c r="C85" i="3"/>
  <c r="D85" i="3"/>
  <c r="E85" i="3"/>
  <c r="F85" i="3"/>
  <c r="G85" i="3"/>
  <c r="H85" i="3" s="1"/>
  <c r="I85" i="3"/>
  <c r="C86" i="3"/>
  <c r="D86" i="3"/>
  <c r="E86" i="3"/>
  <c r="F86" i="3"/>
  <c r="G86" i="3"/>
  <c r="H86" i="3" s="1"/>
  <c r="I86" i="3"/>
  <c r="C87" i="3"/>
  <c r="D87" i="3"/>
  <c r="E87" i="3"/>
  <c r="F87" i="3"/>
  <c r="G87" i="3"/>
  <c r="H87" i="3" s="1"/>
  <c r="I87" i="3"/>
  <c r="C88" i="3"/>
  <c r="D88" i="3"/>
  <c r="E88" i="3"/>
  <c r="F88" i="3"/>
  <c r="G88" i="3"/>
  <c r="H88" i="3" s="1"/>
  <c r="I88" i="3"/>
  <c r="C89" i="3"/>
  <c r="D89" i="3"/>
  <c r="E89" i="3"/>
  <c r="F89" i="3"/>
  <c r="G89" i="3"/>
  <c r="H89" i="3" s="1"/>
  <c r="I89" i="3"/>
  <c r="C90" i="3"/>
  <c r="D90" i="3"/>
  <c r="E90" i="3"/>
  <c r="F90" i="3"/>
  <c r="G90" i="3"/>
  <c r="H90" i="3" s="1"/>
  <c r="I90" i="3"/>
  <c r="C91" i="3"/>
  <c r="D91" i="3"/>
  <c r="E91" i="3"/>
  <c r="F91" i="3"/>
  <c r="G91" i="3"/>
  <c r="H91" i="3" s="1"/>
  <c r="I91" i="3"/>
  <c r="C92" i="3"/>
  <c r="D92" i="3"/>
  <c r="E92" i="3"/>
  <c r="F92" i="3"/>
  <c r="G92" i="3"/>
  <c r="H92" i="3" s="1"/>
  <c r="I92" i="3"/>
  <c r="I83" i="3"/>
  <c r="G83" i="3"/>
  <c r="H83" i="3" s="1"/>
  <c r="F83" i="3"/>
  <c r="E83" i="3"/>
  <c r="D83" i="3"/>
  <c r="C83" i="3"/>
  <c r="I82" i="3"/>
  <c r="G82" i="3"/>
  <c r="H82" i="3" s="1"/>
  <c r="F82" i="3"/>
  <c r="E82" i="3"/>
  <c r="D82" i="3"/>
  <c r="C82" i="3"/>
  <c r="C70" i="3"/>
  <c r="D70" i="3"/>
  <c r="E70" i="3"/>
  <c r="F70" i="3"/>
  <c r="G70" i="3"/>
  <c r="H70" i="3" s="1"/>
  <c r="I70" i="3"/>
  <c r="C71" i="3"/>
  <c r="D71" i="3"/>
  <c r="E71" i="3"/>
  <c r="F71" i="3"/>
  <c r="G71" i="3"/>
  <c r="H71" i="3" s="1"/>
  <c r="I71" i="3"/>
  <c r="C72" i="3"/>
  <c r="D72" i="3"/>
  <c r="E72" i="3"/>
  <c r="F72" i="3"/>
  <c r="G72" i="3"/>
  <c r="H72" i="3" s="1"/>
  <c r="I72" i="3"/>
  <c r="C73" i="3"/>
  <c r="D73" i="3"/>
  <c r="E73" i="3"/>
  <c r="F73" i="3"/>
  <c r="G73" i="3"/>
  <c r="H73" i="3" s="1"/>
  <c r="I73" i="3"/>
  <c r="C74" i="3"/>
  <c r="D74" i="3"/>
  <c r="E74" i="3"/>
  <c r="F74" i="3"/>
  <c r="G74" i="3"/>
  <c r="H74" i="3" s="1"/>
  <c r="I74" i="3"/>
  <c r="C75" i="3"/>
  <c r="D75" i="3"/>
  <c r="E75" i="3"/>
  <c r="F75" i="3"/>
  <c r="G75" i="3"/>
  <c r="H75" i="3" s="1"/>
  <c r="I75" i="3"/>
  <c r="C76" i="3"/>
  <c r="D76" i="3"/>
  <c r="E76" i="3"/>
  <c r="F76" i="3"/>
  <c r="G76" i="3"/>
  <c r="H76" i="3" s="1"/>
  <c r="I76" i="3"/>
  <c r="C77" i="3"/>
  <c r="D77" i="3"/>
  <c r="E77" i="3"/>
  <c r="F77" i="3"/>
  <c r="G77" i="3"/>
  <c r="H77" i="3" s="1"/>
  <c r="I77" i="3"/>
  <c r="C78" i="3"/>
  <c r="D78" i="3"/>
  <c r="E78" i="3"/>
  <c r="F78" i="3"/>
  <c r="G78" i="3"/>
  <c r="H78" i="3" s="1"/>
  <c r="I78" i="3"/>
  <c r="C79" i="3"/>
  <c r="D79" i="3"/>
  <c r="E79" i="3"/>
  <c r="F79" i="3"/>
  <c r="G79" i="3"/>
  <c r="H79" i="3" s="1"/>
  <c r="I79" i="3"/>
  <c r="I69" i="3"/>
  <c r="G69" i="3"/>
  <c r="H69" i="3" s="1"/>
  <c r="F69" i="3"/>
  <c r="E69" i="3"/>
  <c r="D69" i="3"/>
  <c r="C69" i="3"/>
  <c r="I68" i="3"/>
  <c r="G68" i="3"/>
  <c r="H68" i="3" s="1"/>
  <c r="F68" i="3"/>
  <c r="E68" i="3"/>
  <c r="D68" i="3"/>
  <c r="C68" i="3"/>
  <c r="C9" i="3"/>
  <c r="D9" i="3"/>
  <c r="E9" i="3"/>
  <c r="F9" i="3"/>
  <c r="G9" i="3"/>
  <c r="H9" i="3" s="1"/>
  <c r="I9" i="3"/>
  <c r="C10" i="3"/>
  <c r="D10" i="3"/>
  <c r="E10" i="3"/>
  <c r="F10" i="3"/>
  <c r="G10" i="3"/>
  <c r="H10" i="3" s="1"/>
  <c r="I10" i="3"/>
  <c r="C11" i="3"/>
  <c r="D11" i="3"/>
  <c r="E11" i="3"/>
  <c r="F11" i="3"/>
  <c r="G11" i="3"/>
  <c r="H11" i="3" s="1"/>
  <c r="I11" i="3"/>
  <c r="C12" i="3"/>
  <c r="D12" i="3"/>
  <c r="E12" i="3"/>
  <c r="F12" i="3"/>
  <c r="G12" i="3"/>
  <c r="H12" i="3" s="1"/>
  <c r="I12" i="3"/>
  <c r="C13" i="3"/>
  <c r="D13" i="3"/>
  <c r="E13" i="3"/>
  <c r="F13" i="3"/>
  <c r="G13" i="3"/>
  <c r="H13" i="3" s="1"/>
  <c r="I13" i="3"/>
  <c r="C14" i="3"/>
  <c r="D14" i="3"/>
  <c r="E14" i="3"/>
  <c r="F14" i="3"/>
  <c r="G14" i="3"/>
  <c r="H14" i="3" s="1"/>
  <c r="I14" i="3"/>
  <c r="C15" i="3"/>
  <c r="D15" i="3"/>
  <c r="E15" i="3"/>
  <c r="F15" i="3"/>
  <c r="G15" i="3"/>
  <c r="H15" i="3" s="1"/>
  <c r="I15" i="3"/>
  <c r="C16" i="3"/>
  <c r="D16" i="3"/>
  <c r="E16" i="3"/>
  <c r="F16" i="3"/>
  <c r="G16" i="3"/>
  <c r="H16" i="3" s="1"/>
  <c r="I16" i="3"/>
  <c r="C17" i="3"/>
  <c r="D17" i="3"/>
  <c r="E17" i="3"/>
  <c r="F17" i="3"/>
  <c r="G17" i="3"/>
  <c r="H17" i="3" s="1"/>
  <c r="I17" i="3"/>
  <c r="C18" i="3"/>
  <c r="D18" i="3"/>
  <c r="E18" i="3"/>
  <c r="F18" i="3"/>
  <c r="G18" i="3"/>
  <c r="H18" i="3" s="1"/>
  <c r="I18" i="3"/>
  <c r="C19" i="3"/>
  <c r="D19" i="3"/>
  <c r="E19" i="3"/>
  <c r="F19" i="3"/>
  <c r="G19" i="3"/>
  <c r="H19" i="3" s="1"/>
  <c r="I19" i="3"/>
  <c r="C20" i="3"/>
  <c r="D20" i="3"/>
  <c r="E20" i="3"/>
  <c r="F20" i="3"/>
  <c r="G20" i="3"/>
  <c r="H20" i="3" s="1"/>
  <c r="I20" i="3"/>
  <c r="C21" i="3"/>
  <c r="D21" i="3"/>
  <c r="E21" i="3"/>
  <c r="F21" i="3"/>
  <c r="G21" i="3"/>
  <c r="H21" i="3" s="1"/>
  <c r="I21" i="3"/>
  <c r="C22" i="3"/>
  <c r="D22" i="3"/>
  <c r="E22" i="3"/>
  <c r="F22" i="3"/>
  <c r="G22" i="3"/>
  <c r="H22" i="3" s="1"/>
  <c r="I22" i="3"/>
  <c r="C23" i="3"/>
  <c r="D23" i="3"/>
  <c r="E23" i="3"/>
  <c r="F23" i="3"/>
  <c r="G23" i="3"/>
  <c r="H23" i="3" s="1"/>
  <c r="I23" i="3"/>
  <c r="C24" i="3"/>
  <c r="D24" i="3"/>
  <c r="E24" i="3"/>
  <c r="F24" i="3"/>
  <c r="G24" i="3"/>
  <c r="H24" i="3" s="1"/>
  <c r="I24" i="3"/>
  <c r="C25" i="3"/>
  <c r="D25" i="3"/>
  <c r="E25" i="3"/>
  <c r="F25" i="3"/>
  <c r="G25" i="3"/>
  <c r="H25" i="3" s="1"/>
  <c r="I25" i="3"/>
  <c r="C26" i="3"/>
  <c r="D26" i="3"/>
  <c r="E26" i="3"/>
  <c r="F26" i="3"/>
  <c r="G26" i="3"/>
  <c r="H26" i="3" s="1"/>
  <c r="I26" i="3"/>
  <c r="C27" i="3"/>
  <c r="D27" i="3"/>
  <c r="E27" i="3"/>
  <c r="F27" i="3"/>
  <c r="G27" i="3"/>
  <c r="H27" i="3" s="1"/>
  <c r="I27" i="3"/>
  <c r="C28" i="3"/>
  <c r="D28" i="3"/>
  <c r="E28" i="3"/>
  <c r="F28" i="3"/>
  <c r="G28" i="3"/>
  <c r="H28" i="3" s="1"/>
  <c r="I28" i="3"/>
  <c r="C29" i="3"/>
  <c r="D29" i="3"/>
  <c r="E29" i="3"/>
  <c r="F29" i="3"/>
  <c r="G29" i="3"/>
  <c r="H29" i="3" s="1"/>
  <c r="I29" i="3"/>
  <c r="C30" i="3"/>
  <c r="D30" i="3"/>
  <c r="E30" i="3"/>
  <c r="F30" i="3"/>
  <c r="G30" i="3"/>
  <c r="H30" i="3" s="1"/>
  <c r="I30" i="3"/>
  <c r="C31" i="3"/>
  <c r="D31" i="3"/>
  <c r="E31" i="3"/>
  <c r="F31" i="3"/>
  <c r="G31" i="3"/>
  <c r="H31" i="3" s="1"/>
  <c r="I31" i="3"/>
  <c r="C32" i="3"/>
  <c r="D32" i="3"/>
  <c r="E32" i="3"/>
  <c r="F32" i="3"/>
  <c r="G32" i="3"/>
  <c r="H32" i="3" s="1"/>
  <c r="I32" i="3"/>
  <c r="C33" i="3"/>
  <c r="D33" i="3"/>
  <c r="E33" i="3"/>
  <c r="F33" i="3"/>
  <c r="G33" i="3"/>
  <c r="H33" i="3" s="1"/>
  <c r="I33" i="3"/>
  <c r="C34" i="3"/>
  <c r="D34" i="3"/>
  <c r="E34" i="3"/>
  <c r="F34" i="3"/>
  <c r="G34" i="3"/>
  <c r="H34" i="3" s="1"/>
  <c r="I34" i="3"/>
  <c r="C35" i="3"/>
  <c r="D35" i="3"/>
  <c r="E35" i="3"/>
  <c r="F35" i="3"/>
  <c r="G35" i="3"/>
  <c r="H35" i="3" s="1"/>
  <c r="I35" i="3"/>
  <c r="C36" i="3"/>
  <c r="D36" i="3"/>
  <c r="E36" i="3"/>
  <c r="F36" i="3"/>
  <c r="G36" i="3"/>
  <c r="H36" i="3" s="1"/>
  <c r="I36" i="3"/>
  <c r="C37" i="3"/>
  <c r="D37" i="3"/>
  <c r="E37" i="3"/>
  <c r="F37" i="3"/>
  <c r="G37" i="3"/>
  <c r="H37" i="3" s="1"/>
  <c r="I37" i="3"/>
  <c r="C38" i="3"/>
  <c r="D38" i="3"/>
  <c r="E38" i="3"/>
  <c r="F38" i="3"/>
  <c r="G38" i="3"/>
  <c r="H38" i="3" s="1"/>
  <c r="I38" i="3"/>
  <c r="C39" i="3"/>
  <c r="D39" i="3"/>
  <c r="E39" i="3"/>
  <c r="F39" i="3"/>
  <c r="G39" i="3"/>
  <c r="H39" i="3" s="1"/>
  <c r="I39" i="3"/>
  <c r="C40" i="3"/>
  <c r="D40" i="3"/>
  <c r="E40" i="3"/>
  <c r="F40" i="3"/>
  <c r="G40" i="3"/>
  <c r="H40" i="3" s="1"/>
  <c r="I40" i="3"/>
  <c r="C41" i="3"/>
  <c r="D41" i="3"/>
  <c r="E41" i="3"/>
  <c r="F41" i="3"/>
  <c r="G41" i="3"/>
  <c r="H41" i="3" s="1"/>
  <c r="I41" i="3"/>
  <c r="C42" i="3"/>
  <c r="D42" i="3"/>
  <c r="E42" i="3"/>
  <c r="F42" i="3"/>
  <c r="G42" i="3"/>
  <c r="H42" i="3" s="1"/>
  <c r="I42" i="3"/>
  <c r="C43" i="3"/>
  <c r="D43" i="3"/>
  <c r="E43" i="3"/>
  <c r="F43" i="3"/>
  <c r="G43" i="3"/>
  <c r="H43" i="3" s="1"/>
  <c r="I43" i="3"/>
  <c r="C44" i="3"/>
  <c r="D44" i="3"/>
  <c r="E44" i="3"/>
  <c r="F44" i="3"/>
  <c r="G44" i="3"/>
  <c r="H44" i="3" s="1"/>
  <c r="I44" i="3"/>
  <c r="C45" i="3"/>
  <c r="D45" i="3"/>
  <c r="E45" i="3"/>
  <c r="F45" i="3"/>
  <c r="G45" i="3"/>
  <c r="H45" i="3" s="1"/>
  <c r="I45" i="3"/>
  <c r="C46" i="3"/>
  <c r="D46" i="3"/>
  <c r="E46" i="3"/>
  <c r="F46" i="3"/>
  <c r="G46" i="3"/>
  <c r="H46" i="3" s="1"/>
  <c r="I46" i="3"/>
  <c r="C47" i="3"/>
  <c r="D47" i="3"/>
  <c r="E47" i="3"/>
  <c r="F47" i="3"/>
  <c r="G47" i="3"/>
  <c r="H47" i="3" s="1"/>
  <c r="I47" i="3"/>
  <c r="C48" i="3"/>
  <c r="D48" i="3"/>
  <c r="E48" i="3"/>
  <c r="F48" i="3"/>
  <c r="G48" i="3"/>
  <c r="H48" i="3" s="1"/>
  <c r="I48" i="3"/>
  <c r="C49" i="3"/>
  <c r="D49" i="3"/>
  <c r="E49" i="3"/>
  <c r="F49" i="3"/>
  <c r="G49" i="3"/>
  <c r="H49" i="3" s="1"/>
  <c r="I49" i="3"/>
  <c r="C50" i="3"/>
  <c r="D50" i="3"/>
  <c r="E50" i="3"/>
  <c r="F50" i="3"/>
  <c r="G50" i="3"/>
  <c r="H50" i="3" s="1"/>
  <c r="I50" i="3"/>
  <c r="C51" i="3"/>
  <c r="D51" i="3"/>
  <c r="E51" i="3"/>
  <c r="G51" i="3"/>
  <c r="H51" i="3" s="1"/>
  <c r="I51" i="3"/>
  <c r="C52" i="3"/>
  <c r="D52" i="3"/>
  <c r="E52" i="3"/>
  <c r="F52" i="3"/>
  <c r="G52" i="3"/>
  <c r="H52" i="3" s="1"/>
  <c r="I52" i="3"/>
  <c r="C53" i="3"/>
  <c r="D53" i="3"/>
  <c r="E53" i="3"/>
  <c r="F53" i="3"/>
  <c r="G53" i="3"/>
  <c r="H53" i="3" s="1"/>
  <c r="I53" i="3"/>
  <c r="C54" i="3"/>
  <c r="D54" i="3"/>
  <c r="E54" i="3"/>
  <c r="F54" i="3"/>
  <c r="G54" i="3"/>
  <c r="H54" i="3" s="1"/>
  <c r="I54" i="3"/>
  <c r="C55" i="3"/>
  <c r="D55" i="3"/>
  <c r="E55" i="3"/>
  <c r="F55" i="3"/>
  <c r="G55" i="3"/>
  <c r="H55" i="3" s="1"/>
  <c r="I55" i="3"/>
  <c r="C56" i="3"/>
  <c r="D56" i="3"/>
  <c r="E56" i="3"/>
  <c r="F56" i="3"/>
  <c r="G56" i="3"/>
  <c r="H56" i="3" s="1"/>
  <c r="I56" i="3"/>
  <c r="C57" i="3"/>
  <c r="D57" i="3"/>
  <c r="E57" i="3"/>
  <c r="F57" i="3"/>
  <c r="G57" i="3"/>
  <c r="H57" i="3" s="1"/>
  <c r="I57" i="3"/>
  <c r="C58" i="3"/>
  <c r="D58" i="3"/>
  <c r="E58" i="3"/>
  <c r="F58" i="3"/>
  <c r="G58" i="3"/>
  <c r="H58" i="3" s="1"/>
  <c r="I58" i="3"/>
  <c r="C59" i="3"/>
  <c r="D59" i="3"/>
  <c r="E59" i="3"/>
  <c r="F59" i="3"/>
  <c r="G59" i="3"/>
  <c r="H59" i="3" s="1"/>
  <c r="I59" i="3"/>
  <c r="C60" i="3"/>
  <c r="D60" i="3"/>
  <c r="E60" i="3"/>
  <c r="F60" i="3"/>
  <c r="G60" i="3"/>
  <c r="H60" i="3" s="1"/>
  <c r="I60" i="3"/>
  <c r="C61" i="3"/>
  <c r="D61" i="3"/>
  <c r="E61" i="3"/>
  <c r="F61" i="3"/>
  <c r="G61" i="3"/>
  <c r="H61" i="3" s="1"/>
  <c r="I61" i="3"/>
  <c r="C62" i="3"/>
  <c r="D62" i="3"/>
  <c r="E62" i="3"/>
  <c r="F62" i="3"/>
  <c r="G62" i="3"/>
  <c r="H62" i="3" s="1"/>
  <c r="I62" i="3"/>
  <c r="C63" i="3"/>
  <c r="D63" i="3"/>
  <c r="E63" i="3"/>
  <c r="F63" i="3"/>
  <c r="G63" i="3"/>
  <c r="H63" i="3" s="1"/>
  <c r="I63" i="3"/>
  <c r="C64" i="3"/>
  <c r="D64" i="3"/>
  <c r="E64" i="3"/>
  <c r="F64" i="3"/>
  <c r="G64" i="3"/>
  <c r="H64" i="3" s="1"/>
  <c r="I64" i="3"/>
  <c r="C65" i="3"/>
  <c r="D65" i="3"/>
  <c r="E65" i="3"/>
  <c r="F65" i="3"/>
  <c r="G65" i="3"/>
  <c r="H65" i="3" s="1"/>
  <c r="I65" i="3"/>
  <c r="I8" i="3"/>
  <c r="G8" i="3"/>
  <c r="H8" i="3" s="1"/>
  <c r="F8" i="3"/>
  <c r="E8" i="3"/>
  <c r="D8" i="3"/>
  <c r="C8" i="3"/>
  <c r="E84" i="2"/>
  <c r="F84" i="2"/>
  <c r="G84" i="2"/>
  <c r="H84" i="2"/>
  <c r="I84" i="2"/>
  <c r="E85" i="2"/>
  <c r="F85" i="2"/>
  <c r="G85" i="2"/>
  <c r="H85" i="2"/>
  <c r="I85" i="2"/>
  <c r="E86" i="2"/>
  <c r="F86" i="2"/>
  <c r="G86" i="2"/>
  <c r="H86" i="2"/>
  <c r="I86" i="2"/>
  <c r="E87" i="2"/>
  <c r="F87" i="2"/>
  <c r="G87" i="2"/>
  <c r="H87" i="2"/>
  <c r="I87" i="2"/>
  <c r="E88" i="2"/>
  <c r="F88" i="2"/>
  <c r="G88" i="2"/>
  <c r="H88" i="2"/>
  <c r="I88" i="2"/>
  <c r="E89" i="2"/>
  <c r="F89" i="2"/>
  <c r="G89" i="2"/>
  <c r="H89" i="2"/>
  <c r="I89" i="2"/>
  <c r="E90" i="2"/>
  <c r="F90" i="2"/>
  <c r="G90" i="2"/>
  <c r="H90" i="2"/>
  <c r="I90" i="2"/>
  <c r="E91" i="2"/>
  <c r="F91" i="2"/>
  <c r="G91" i="2"/>
  <c r="H91" i="2"/>
  <c r="I91" i="2"/>
  <c r="E92" i="2"/>
  <c r="F92" i="2"/>
  <c r="G92" i="2"/>
  <c r="H92" i="2"/>
  <c r="I92" i="2"/>
  <c r="I83" i="2"/>
  <c r="H83" i="2"/>
  <c r="G83" i="2"/>
  <c r="F83" i="2"/>
  <c r="E83" i="2"/>
  <c r="I82" i="2"/>
  <c r="H82" i="2"/>
  <c r="G82" i="2"/>
  <c r="F82" i="2"/>
  <c r="E82" i="2"/>
  <c r="E70" i="2"/>
  <c r="F70" i="2"/>
  <c r="G70" i="2"/>
  <c r="H70" i="2"/>
  <c r="I70" i="2"/>
  <c r="E71" i="2"/>
  <c r="F71" i="2"/>
  <c r="G71" i="2"/>
  <c r="H71" i="2"/>
  <c r="I71" i="2"/>
  <c r="E72" i="2"/>
  <c r="F72" i="2"/>
  <c r="G72" i="2"/>
  <c r="H72" i="2"/>
  <c r="I72" i="2"/>
  <c r="E73" i="2"/>
  <c r="F73" i="2"/>
  <c r="G73" i="2"/>
  <c r="H73" i="2"/>
  <c r="I73" i="2"/>
  <c r="E74" i="2"/>
  <c r="F74" i="2"/>
  <c r="G74" i="2"/>
  <c r="H74" i="2"/>
  <c r="I74" i="2"/>
  <c r="E75" i="2"/>
  <c r="F75" i="2"/>
  <c r="G75" i="2"/>
  <c r="H75" i="2"/>
  <c r="I75" i="2"/>
  <c r="E76" i="2"/>
  <c r="F76" i="2"/>
  <c r="G76" i="2"/>
  <c r="H76" i="2"/>
  <c r="I76" i="2"/>
  <c r="E77" i="2"/>
  <c r="F77" i="2"/>
  <c r="G77" i="2"/>
  <c r="H77" i="2"/>
  <c r="I77" i="2"/>
  <c r="E78" i="2"/>
  <c r="F78" i="2"/>
  <c r="G78" i="2"/>
  <c r="H78" i="2"/>
  <c r="I78" i="2"/>
  <c r="E79" i="2"/>
  <c r="F79" i="2"/>
  <c r="G79" i="2"/>
  <c r="H79" i="2"/>
  <c r="I79" i="2"/>
  <c r="I69" i="2"/>
  <c r="H69" i="2"/>
  <c r="G69" i="2"/>
  <c r="F69" i="2"/>
  <c r="E69" i="2"/>
  <c r="I68" i="2"/>
  <c r="H68" i="2"/>
  <c r="G68" i="2"/>
  <c r="F68" i="2"/>
  <c r="E6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E39" i="2"/>
  <c r="F39" i="2"/>
  <c r="G39" i="2"/>
  <c r="H39" i="2"/>
  <c r="I39" i="2"/>
  <c r="E40" i="2"/>
  <c r="F40" i="2"/>
  <c r="G40" i="2"/>
  <c r="H40" i="2"/>
  <c r="I40" i="2"/>
  <c r="E41" i="2"/>
  <c r="F41" i="2"/>
  <c r="G41" i="2"/>
  <c r="H41" i="2"/>
  <c r="I41" i="2"/>
  <c r="E42" i="2"/>
  <c r="F42" i="2"/>
  <c r="G42" i="2"/>
  <c r="H42" i="2"/>
  <c r="I42" i="2"/>
  <c r="E43" i="2"/>
  <c r="F43" i="2"/>
  <c r="G43" i="2"/>
  <c r="H43" i="2"/>
  <c r="I43" i="2"/>
  <c r="E44" i="2"/>
  <c r="F44" i="2"/>
  <c r="G44" i="2"/>
  <c r="H44" i="2"/>
  <c r="I44" i="2"/>
  <c r="E45" i="2"/>
  <c r="F45" i="2"/>
  <c r="G45" i="2"/>
  <c r="H45" i="2"/>
  <c r="I45" i="2"/>
  <c r="E46" i="2"/>
  <c r="F46" i="2"/>
  <c r="G46" i="2"/>
  <c r="H46" i="2"/>
  <c r="I46" i="2"/>
  <c r="E47" i="2"/>
  <c r="F47" i="2"/>
  <c r="G47" i="2"/>
  <c r="H47" i="2"/>
  <c r="I47" i="2"/>
  <c r="E48" i="2"/>
  <c r="F48" i="2"/>
  <c r="G48" i="2"/>
  <c r="H48" i="2"/>
  <c r="I48" i="2"/>
  <c r="E49" i="2"/>
  <c r="F49" i="2"/>
  <c r="G49" i="2"/>
  <c r="H49" i="2"/>
  <c r="I49" i="2"/>
  <c r="E50" i="2"/>
  <c r="F50" i="2"/>
  <c r="G50" i="2"/>
  <c r="H50" i="2"/>
  <c r="I50" i="2"/>
  <c r="E51" i="2"/>
  <c r="F51" i="2"/>
  <c r="G51" i="2"/>
  <c r="H51" i="2"/>
  <c r="I51" i="2"/>
  <c r="E52" i="2"/>
  <c r="F52" i="2"/>
  <c r="G52" i="2"/>
  <c r="H52" i="2"/>
  <c r="I52" i="2"/>
  <c r="E53" i="2"/>
  <c r="F53" i="2"/>
  <c r="G53" i="2"/>
  <c r="H53" i="2"/>
  <c r="I53" i="2"/>
  <c r="E54" i="2"/>
  <c r="F54" i="2"/>
  <c r="G54" i="2"/>
  <c r="H54" i="2"/>
  <c r="I54" i="2"/>
  <c r="E55" i="2"/>
  <c r="F55" i="2"/>
  <c r="G55" i="2"/>
  <c r="H55" i="2"/>
  <c r="I55" i="2"/>
  <c r="E56" i="2"/>
  <c r="F56" i="2"/>
  <c r="G56" i="2"/>
  <c r="H56" i="2"/>
  <c r="I56" i="2"/>
  <c r="E57" i="2"/>
  <c r="F57" i="2"/>
  <c r="G57" i="2"/>
  <c r="H57" i="2"/>
  <c r="I57" i="2"/>
  <c r="E58" i="2"/>
  <c r="F58" i="2"/>
  <c r="G58" i="2"/>
  <c r="H58" i="2"/>
  <c r="I58" i="2"/>
  <c r="E59" i="2"/>
  <c r="F59" i="2"/>
  <c r="G59" i="2"/>
  <c r="H59" i="2"/>
  <c r="I59" i="2"/>
  <c r="E60" i="2"/>
  <c r="F60" i="2"/>
  <c r="G60" i="2"/>
  <c r="H60" i="2"/>
  <c r="I60" i="2"/>
  <c r="E61" i="2"/>
  <c r="F61" i="2"/>
  <c r="G61" i="2"/>
  <c r="H61" i="2"/>
  <c r="I61" i="2"/>
  <c r="E62" i="2"/>
  <c r="F62" i="2"/>
  <c r="G62" i="2"/>
  <c r="H62" i="2"/>
  <c r="I62" i="2"/>
  <c r="E63" i="2"/>
  <c r="F63" i="2"/>
  <c r="G63" i="2"/>
  <c r="H63" i="2"/>
  <c r="I63" i="2"/>
  <c r="E64" i="2"/>
  <c r="F64" i="2"/>
  <c r="G64" i="2"/>
  <c r="H64" i="2"/>
  <c r="I64" i="2"/>
  <c r="E65" i="2"/>
  <c r="F65" i="2"/>
  <c r="G65" i="2"/>
  <c r="H65" i="2"/>
  <c r="I65" i="2"/>
  <c r="I8" i="2"/>
  <c r="H8" i="2"/>
  <c r="G8" i="2"/>
  <c r="F8" i="2"/>
  <c r="E8" i="2"/>
  <c r="C82" i="4"/>
  <c r="C75" i="7"/>
  <c r="D36" i="7"/>
  <c r="C43" i="4"/>
  <c r="C45" i="4"/>
  <c r="C51" i="4"/>
  <c r="C53" i="4"/>
  <c r="C55" i="4"/>
  <c r="C57" i="4"/>
  <c r="C59" i="4"/>
  <c r="C63" i="4"/>
  <c r="C65" i="4"/>
  <c r="H65" i="7" l="1"/>
  <c r="H61" i="7"/>
  <c r="H57" i="7"/>
  <c r="H53" i="7"/>
  <c r="H49" i="7"/>
  <c r="H41" i="7"/>
  <c r="H45" i="7"/>
  <c r="I83" i="7"/>
  <c r="H79" i="7"/>
  <c r="H75" i="7"/>
  <c r="I52" i="7"/>
  <c r="I36" i="7"/>
  <c r="G64" i="7"/>
  <c r="E80" i="3"/>
  <c r="G48" i="7"/>
  <c r="F66" i="6"/>
  <c r="J66" i="6"/>
  <c r="I65" i="7"/>
  <c r="G65" i="7"/>
  <c r="I61" i="7"/>
  <c r="G61" i="7"/>
  <c r="I57" i="7"/>
  <c r="I53" i="7"/>
  <c r="G53" i="7"/>
  <c r="I49" i="7"/>
  <c r="I45" i="7"/>
  <c r="G45" i="7"/>
  <c r="I41" i="7"/>
  <c r="G37" i="7"/>
  <c r="I33" i="7"/>
  <c r="G29" i="7"/>
  <c r="I25" i="7"/>
  <c r="G21" i="7"/>
  <c r="I17" i="7"/>
  <c r="G13" i="7"/>
  <c r="G68" i="7"/>
  <c r="I68" i="7"/>
  <c r="I79" i="7"/>
  <c r="I75" i="7"/>
  <c r="I71" i="7"/>
  <c r="I90" i="7"/>
  <c r="G90" i="7"/>
  <c r="I86" i="7"/>
  <c r="I82" i="7"/>
  <c r="G58" i="8"/>
  <c r="D58" i="8"/>
  <c r="J58" i="8"/>
  <c r="G50" i="8"/>
  <c r="D50" i="8"/>
  <c r="J50" i="8"/>
  <c r="G46" i="8"/>
  <c r="D46" i="8"/>
  <c r="J46" i="8"/>
  <c r="F42" i="7"/>
  <c r="G34" i="8"/>
  <c r="D34" i="8"/>
  <c r="J34" i="8"/>
  <c r="G30" i="8"/>
  <c r="D30" i="8"/>
  <c r="J30" i="8"/>
  <c r="G22" i="8"/>
  <c r="D22" i="8"/>
  <c r="J22" i="8"/>
  <c r="D14" i="8"/>
  <c r="G14" i="8"/>
  <c r="J14" i="8"/>
  <c r="J69" i="8"/>
  <c r="D69" i="8"/>
  <c r="G69" i="8"/>
  <c r="G76" i="8"/>
  <c r="D76" i="8"/>
  <c r="J76" i="8"/>
  <c r="G72" i="8"/>
  <c r="D72" i="8"/>
  <c r="J72" i="8"/>
  <c r="F72" i="7"/>
  <c r="I42" i="17"/>
  <c r="C66" i="3"/>
  <c r="F51" i="3"/>
  <c r="F66" i="3" s="1"/>
  <c r="F51" i="17"/>
  <c r="G66" i="3"/>
  <c r="G51" i="17"/>
  <c r="C66" i="6"/>
  <c r="G66" i="6"/>
  <c r="H8" i="7"/>
  <c r="K66" i="6"/>
  <c r="J51" i="8"/>
  <c r="G51" i="8"/>
  <c r="D51" i="8"/>
  <c r="J35" i="8"/>
  <c r="D35" i="8"/>
  <c r="G35" i="8"/>
  <c r="F35" i="7"/>
  <c r="J27" i="8"/>
  <c r="G27" i="8"/>
  <c r="D27" i="8"/>
  <c r="J19" i="8"/>
  <c r="D19" i="8"/>
  <c r="G19" i="8"/>
  <c r="J15" i="8"/>
  <c r="G15" i="8"/>
  <c r="D15" i="8"/>
  <c r="F11" i="7"/>
  <c r="J73" i="8"/>
  <c r="D73" i="8"/>
  <c r="G73" i="8"/>
  <c r="E66" i="3"/>
  <c r="F8" i="7"/>
  <c r="E66" i="6"/>
  <c r="I66" i="6"/>
  <c r="M66" i="6"/>
  <c r="G8" i="8"/>
  <c r="D8" i="8"/>
  <c r="J8" i="8"/>
  <c r="J65" i="8"/>
  <c r="D65" i="8"/>
  <c r="G65" i="8"/>
  <c r="J61" i="8"/>
  <c r="D61" i="8"/>
  <c r="G61" i="8"/>
  <c r="J57" i="8"/>
  <c r="D57" i="8"/>
  <c r="G57" i="8"/>
  <c r="J53" i="8"/>
  <c r="G53" i="8"/>
  <c r="D53" i="8"/>
  <c r="F53" i="7"/>
  <c r="J49" i="8"/>
  <c r="D49" i="8"/>
  <c r="G49" i="8"/>
  <c r="J45" i="8"/>
  <c r="D45" i="8"/>
  <c r="G45" i="8"/>
  <c r="J41" i="8"/>
  <c r="D41" i="8"/>
  <c r="G41" i="8"/>
  <c r="F41" i="7"/>
  <c r="J37" i="8"/>
  <c r="G37" i="8"/>
  <c r="D37" i="8"/>
  <c r="J33" i="8"/>
  <c r="D33" i="8"/>
  <c r="G33" i="8"/>
  <c r="G32" i="7"/>
  <c r="J29" i="8"/>
  <c r="D29" i="8"/>
  <c r="G29" i="8"/>
  <c r="J25" i="8"/>
  <c r="D25" i="8"/>
  <c r="G25" i="8"/>
  <c r="H23" i="7"/>
  <c r="J21" i="8"/>
  <c r="D21" i="8"/>
  <c r="G21" i="8"/>
  <c r="F21" i="7"/>
  <c r="I20" i="7"/>
  <c r="J17" i="8"/>
  <c r="D17" i="8"/>
  <c r="G17" i="8"/>
  <c r="G16" i="7"/>
  <c r="J13" i="8"/>
  <c r="D13" i="8"/>
  <c r="G13" i="8"/>
  <c r="I69" i="7"/>
  <c r="J79" i="8"/>
  <c r="G79" i="8"/>
  <c r="D79" i="8"/>
  <c r="J75" i="8"/>
  <c r="G75" i="8"/>
  <c r="D75" i="8"/>
  <c r="J71" i="8"/>
  <c r="D71" i="8"/>
  <c r="G71" i="8"/>
  <c r="G62" i="8"/>
  <c r="D62" i="8"/>
  <c r="J62" i="8"/>
  <c r="F62" i="7"/>
  <c r="D54" i="8"/>
  <c r="G54" i="8"/>
  <c r="J54" i="8"/>
  <c r="G42" i="8"/>
  <c r="D42" i="8"/>
  <c r="J42" i="8"/>
  <c r="G38" i="8"/>
  <c r="D38" i="8"/>
  <c r="J38" i="8"/>
  <c r="F30" i="7"/>
  <c r="G26" i="8"/>
  <c r="D26" i="8"/>
  <c r="J26" i="8"/>
  <c r="G18" i="8"/>
  <c r="D18" i="8"/>
  <c r="J18" i="8"/>
  <c r="G10" i="8"/>
  <c r="D10" i="8"/>
  <c r="J10" i="8"/>
  <c r="J63" i="8"/>
  <c r="D63" i="8"/>
  <c r="G63" i="8"/>
  <c r="J59" i="8"/>
  <c r="G59" i="8"/>
  <c r="D59" i="8"/>
  <c r="H55" i="7"/>
  <c r="J55" i="8"/>
  <c r="G55" i="8"/>
  <c r="D55" i="8"/>
  <c r="J47" i="8"/>
  <c r="D47" i="8"/>
  <c r="G47" i="8"/>
  <c r="J43" i="8"/>
  <c r="G43" i="8"/>
  <c r="D43" i="8"/>
  <c r="H39" i="7"/>
  <c r="J39" i="8"/>
  <c r="G39" i="8"/>
  <c r="D39" i="8"/>
  <c r="J31" i="8"/>
  <c r="G31" i="8"/>
  <c r="D31" i="8"/>
  <c r="F31" i="7"/>
  <c r="J23" i="8"/>
  <c r="G23" i="8"/>
  <c r="D23" i="8"/>
  <c r="F19" i="7"/>
  <c r="J11" i="8"/>
  <c r="G11" i="8"/>
  <c r="D11" i="8"/>
  <c r="G68" i="8"/>
  <c r="D68" i="8"/>
  <c r="J68" i="8"/>
  <c r="J77" i="8"/>
  <c r="D77" i="8"/>
  <c r="G77" i="8"/>
  <c r="I72" i="7"/>
  <c r="D66" i="3"/>
  <c r="I66" i="3"/>
  <c r="I51" i="17"/>
  <c r="D66" i="4"/>
  <c r="D66" i="6"/>
  <c r="G8" i="7"/>
  <c r="H66" i="6"/>
  <c r="I8" i="7"/>
  <c r="L66" i="6"/>
  <c r="J9" i="8"/>
  <c r="D9" i="8"/>
  <c r="G9" i="8"/>
  <c r="G64" i="8"/>
  <c r="D64" i="8"/>
  <c r="J64" i="8"/>
  <c r="H62" i="7"/>
  <c r="D60" i="8"/>
  <c r="G60" i="8"/>
  <c r="J60" i="8"/>
  <c r="H58" i="7"/>
  <c r="G56" i="8"/>
  <c r="D56" i="8"/>
  <c r="J56" i="8"/>
  <c r="H54" i="7"/>
  <c r="G52" i="8"/>
  <c r="D52" i="8"/>
  <c r="J52" i="8"/>
  <c r="H50" i="7"/>
  <c r="G48" i="8"/>
  <c r="D48" i="8"/>
  <c r="J48" i="8"/>
  <c r="H46" i="7"/>
  <c r="D44" i="8"/>
  <c r="G44" i="8"/>
  <c r="J44" i="8"/>
  <c r="H42" i="7"/>
  <c r="G40" i="8"/>
  <c r="D40" i="8"/>
  <c r="J40" i="8"/>
  <c r="H38" i="7"/>
  <c r="G36" i="8"/>
  <c r="D36" i="8"/>
  <c r="J36" i="8"/>
  <c r="G32" i="8"/>
  <c r="D32" i="8"/>
  <c r="J32" i="8"/>
  <c r="H30" i="7"/>
  <c r="G28" i="8"/>
  <c r="D28" i="8"/>
  <c r="J28" i="8"/>
  <c r="H26" i="7"/>
  <c r="G24" i="8"/>
  <c r="D24" i="8"/>
  <c r="J24" i="8"/>
  <c r="H22" i="7"/>
  <c r="G20" i="8"/>
  <c r="D20" i="8"/>
  <c r="J20" i="8"/>
  <c r="I19" i="7"/>
  <c r="G16" i="8"/>
  <c r="D16" i="8"/>
  <c r="J16" i="8"/>
  <c r="I15" i="7"/>
  <c r="H14" i="7"/>
  <c r="D12" i="8"/>
  <c r="G12" i="8"/>
  <c r="J12" i="8"/>
  <c r="I11" i="7"/>
  <c r="H10" i="7"/>
  <c r="G78" i="8"/>
  <c r="D78" i="8"/>
  <c r="J78" i="8"/>
  <c r="I77" i="7"/>
  <c r="H76" i="7"/>
  <c r="G74" i="8"/>
  <c r="D74" i="8"/>
  <c r="J74" i="8"/>
  <c r="F74" i="7"/>
  <c r="I73" i="7"/>
  <c r="G70" i="8"/>
  <c r="D70" i="8"/>
  <c r="J70" i="8"/>
  <c r="E80" i="6"/>
  <c r="G91" i="8"/>
  <c r="J91" i="8"/>
  <c r="D91" i="8"/>
  <c r="J88" i="8"/>
  <c r="D88" i="8"/>
  <c r="G88" i="8"/>
  <c r="G83" i="8"/>
  <c r="J83" i="8"/>
  <c r="D83" i="8"/>
  <c r="I92" i="7"/>
  <c r="J89" i="8"/>
  <c r="D89" i="8"/>
  <c r="G89" i="8"/>
  <c r="G88" i="7"/>
  <c r="H87" i="7"/>
  <c r="J85" i="8"/>
  <c r="D85" i="8"/>
  <c r="G85" i="8"/>
  <c r="I84" i="7"/>
  <c r="G87" i="8"/>
  <c r="J87" i="8"/>
  <c r="D87" i="8"/>
  <c r="J92" i="8"/>
  <c r="D92" i="8"/>
  <c r="G92" i="8"/>
  <c r="G91" i="7"/>
  <c r="I87" i="7"/>
  <c r="J84" i="8"/>
  <c r="G84" i="8"/>
  <c r="D84" i="8"/>
  <c r="J82" i="8"/>
  <c r="D82" i="8"/>
  <c r="G82" i="8"/>
  <c r="G90" i="8"/>
  <c r="J90" i="8"/>
  <c r="D90" i="8"/>
  <c r="G86" i="8"/>
  <c r="J86" i="8"/>
  <c r="D86" i="8"/>
  <c r="H84" i="7"/>
  <c r="C92" i="7"/>
  <c r="E92" i="7" s="1"/>
  <c r="H92" i="8"/>
  <c r="M92" i="8"/>
  <c r="E92" i="8"/>
  <c r="K92" i="8"/>
  <c r="H91" i="8"/>
  <c r="E91" i="8"/>
  <c r="M91" i="8"/>
  <c r="K91" i="8"/>
  <c r="H90" i="8"/>
  <c r="K90" i="8"/>
  <c r="E90" i="8"/>
  <c r="M90" i="8"/>
  <c r="K89" i="8"/>
  <c r="E89" i="8"/>
  <c r="H89" i="8"/>
  <c r="M89" i="8"/>
  <c r="D88" i="7"/>
  <c r="H88" i="8"/>
  <c r="K88" i="8"/>
  <c r="M88" i="8"/>
  <c r="E88" i="8"/>
  <c r="K87" i="8"/>
  <c r="E87" i="8"/>
  <c r="H87" i="8"/>
  <c r="M87" i="8"/>
  <c r="H86" i="8"/>
  <c r="M86" i="8"/>
  <c r="K86" i="8"/>
  <c r="E86" i="8"/>
  <c r="K85" i="8"/>
  <c r="E85" i="8"/>
  <c r="H85" i="8"/>
  <c r="M85" i="8"/>
  <c r="C84" i="7"/>
  <c r="H84" i="8"/>
  <c r="M84" i="8"/>
  <c r="K84" i="8"/>
  <c r="E84" i="8"/>
  <c r="C19" i="4"/>
  <c r="C79" i="4"/>
  <c r="H63" i="7"/>
  <c r="I60" i="7"/>
  <c r="F57" i="7"/>
  <c r="G56" i="7"/>
  <c r="H47" i="7"/>
  <c r="I44" i="7"/>
  <c r="G40" i="7"/>
  <c r="F37" i="7"/>
  <c r="G36" i="7"/>
  <c r="H35" i="7"/>
  <c r="I32" i="7"/>
  <c r="H31" i="7"/>
  <c r="I28" i="7"/>
  <c r="H27" i="7"/>
  <c r="F25" i="7"/>
  <c r="I24" i="7"/>
  <c r="G24" i="7"/>
  <c r="G20" i="7"/>
  <c r="H19" i="7"/>
  <c r="I16" i="7"/>
  <c r="H15" i="7"/>
  <c r="I12" i="7"/>
  <c r="G12" i="7"/>
  <c r="H11" i="7"/>
  <c r="H68" i="7"/>
  <c r="G69" i="7"/>
  <c r="I78" i="7"/>
  <c r="G78" i="7"/>
  <c r="H77" i="7"/>
  <c r="I74" i="7"/>
  <c r="G74" i="7"/>
  <c r="H73" i="7"/>
  <c r="C71" i="7"/>
  <c r="I70" i="7"/>
  <c r="G70" i="7"/>
  <c r="H92" i="7"/>
  <c r="F90" i="7"/>
  <c r="I89" i="7"/>
  <c r="G89" i="7"/>
  <c r="H88" i="7"/>
  <c r="H86" i="7"/>
  <c r="I85" i="7"/>
  <c r="G85" i="7"/>
  <c r="C71" i="4"/>
  <c r="K93" i="6"/>
  <c r="F58" i="7"/>
  <c r="F46" i="7"/>
  <c r="H36" i="7"/>
  <c r="H34" i="7"/>
  <c r="H32" i="7"/>
  <c r="H28" i="7"/>
  <c r="F26" i="7"/>
  <c r="H24" i="7"/>
  <c r="H20" i="7"/>
  <c r="H18" i="7"/>
  <c r="H16" i="7"/>
  <c r="F14" i="7"/>
  <c r="H12" i="7"/>
  <c r="H83" i="7"/>
  <c r="H78" i="7"/>
  <c r="H74" i="7"/>
  <c r="H70" i="7"/>
  <c r="H89" i="7"/>
  <c r="H85" i="7"/>
  <c r="C31" i="7"/>
  <c r="E31" i="7" s="1"/>
  <c r="C80" i="3"/>
  <c r="G80" i="3"/>
  <c r="C35" i="4"/>
  <c r="G9" i="7"/>
  <c r="I9" i="7"/>
  <c r="C63" i="7"/>
  <c r="I62" i="7"/>
  <c r="G62" i="7"/>
  <c r="I58" i="7"/>
  <c r="G58" i="7"/>
  <c r="I54" i="7"/>
  <c r="G54" i="7"/>
  <c r="F51" i="7"/>
  <c r="I50" i="7"/>
  <c r="G50" i="7"/>
  <c r="C47" i="7"/>
  <c r="I46" i="7"/>
  <c r="G46" i="7"/>
  <c r="I42" i="7"/>
  <c r="G42" i="7"/>
  <c r="I38" i="7"/>
  <c r="F27" i="7"/>
  <c r="C23" i="7"/>
  <c r="E23" i="7" s="1"/>
  <c r="C15" i="7"/>
  <c r="E15" i="7" s="1"/>
  <c r="I76" i="7"/>
  <c r="F73" i="7"/>
  <c r="F92" i="7"/>
  <c r="C27" i="4"/>
  <c r="C88" i="4"/>
  <c r="C89" i="7"/>
  <c r="F59" i="7"/>
  <c r="F63" i="7"/>
  <c r="F64" i="7"/>
  <c r="G63" i="7"/>
  <c r="G59" i="7"/>
  <c r="I55" i="7"/>
  <c r="G51" i="7"/>
  <c r="I47" i="7"/>
  <c r="I43" i="7"/>
  <c r="F40" i="7"/>
  <c r="G39" i="7"/>
  <c r="F65" i="7"/>
  <c r="I64" i="7"/>
  <c r="F61" i="7"/>
  <c r="G60" i="7"/>
  <c r="D60" i="7"/>
  <c r="H59" i="7"/>
  <c r="I56" i="7"/>
  <c r="G52" i="7"/>
  <c r="H51" i="7"/>
  <c r="F49" i="7"/>
  <c r="I48" i="7"/>
  <c r="F45" i="7"/>
  <c r="G44" i="7"/>
  <c r="H43" i="7"/>
  <c r="I40" i="7"/>
  <c r="F33" i="7"/>
  <c r="F29" i="7"/>
  <c r="D28" i="7"/>
  <c r="G28" i="7"/>
  <c r="F17" i="7"/>
  <c r="F13" i="7"/>
  <c r="F79" i="7"/>
  <c r="F75" i="7"/>
  <c r="E71" i="7"/>
  <c r="F86" i="7"/>
  <c r="D52" i="7"/>
  <c r="F47" i="7"/>
  <c r="F71" i="7"/>
  <c r="C55" i="7"/>
  <c r="F55" i="7"/>
  <c r="F43" i="7"/>
  <c r="F39" i="7"/>
  <c r="C39" i="7"/>
  <c r="I63" i="7"/>
  <c r="F60" i="7"/>
  <c r="I59" i="7"/>
  <c r="F56" i="7"/>
  <c r="G55" i="7"/>
  <c r="F52" i="7"/>
  <c r="I51" i="7"/>
  <c r="F48" i="7"/>
  <c r="G47" i="7"/>
  <c r="F44" i="7"/>
  <c r="G43" i="7"/>
  <c r="I39" i="7"/>
  <c r="D63" i="7"/>
  <c r="D59" i="7"/>
  <c r="D55" i="7"/>
  <c r="D51" i="7"/>
  <c r="D47" i="7"/>
  <c r="D43" i="7"/>
  <c r="D39" i="7"/>
  <c r="H9" i="7"/>
  <c r="H64" i="7"/>
  <c r="H60" i="7"/>
  <c r="G57" i="7"/>
  <c r="H56" i="7"/>
  <c r="F54" i="7"/>
  <c r="H52" i="7"/>
  <c r="F50" i="7"/>
  <c r="G49" i="7"/>
  <c r="H48" i="7"/>
  <c r="H44" i="7"/>
  <c r="G41" i="7"/>
  <c r="H40" i="7"/>
  <c r="F38" i="7"/>
  <c r="I37" i="7"/>
  <c r="F34" i="7"/>
  <c r="G33" i="7"/>
  <c r="I29" i="7"/>
  <c r="G25" i="7"/>
  <c r="F22" i="7"/>
  <c r="I21" i="7"/>
  <c r="F18" i="7"/>
  <c r="G17" i="7"/>
  <c r="I13" i="7"/>
  <c r="F10" i="7"/>
  <c r="G79" i="7"/>
  <c r="F76" i="7"/>
  <c r="G75" i="7"/>
  <c r="D75" i="7"/>
  <c r="E75" i="7" s="1"/>
  <c r="G71" i="7"/>
  <c r="F91" i="7"/>
  <c r="F87" i="7"/>
  <c r="G86" i="7"/>
  <c r="D20" i="7"/>
  <c r="F36" i="7"/>
  <c r="I35" i="7"/>
  <c r="G35" i="7"/>
  <c r="F32" i="7"/>
  <c r="I31" i="7"/>
  <c r="G31" i="7"/>
  <c r="F28" i="7"/>
  <c r="I27" i="7"/>
  <c r="G27" i="7"/>
  <c r="F24" i="7"/>
  <c r="I23" i="7"/>
  <c r="G23" i="7"/>
  <c r="F20" i="7"/>
  <c r="G19" i="7"/>
  <c r="F16" i="7"/>
  <c r="G15" i="7"/>
  <c r="F12" i="7"/>
  <c r="G11" i="7"/>
  <c r="F80" i="6"/>
  <c r="C80" i="6"/>
  <c r="K80" i="6"/>
  <c r="H69" i="7"/>
  <c r="G82" i="7"/>
  <c r="F78" i="7"/>
  <c r="G77" i="7"/>
  <c r="G73" i="7"/>
  <c r="H72" i="7"/>
  <c r="J80" i="6"/>
  <c r="M80" i="6"/>
  <c r="I80" i="6"/>
  <c r="F70" i="7"/>
  <c r="G92" i="7"/>
  <c r="H91" i="7"/>
  <c r="I88" i="7"/>
  <c r="F85" i="7"/>
  <c r="G84" i="7"/>
  <c r="F15" i="7"/>
  <c r="G38" i="7"/>
  <c r="H37" i="7"/>
  <c r="I34" i="7"/>
  <c r="G34" i="7"/>
  <c r="H33" i="7"/>
  <c r="I30" i="7"/>
  <c r="G30" i="7"/>
  <c r="H29" i="7"/>
  <c r="I26" i="7"/>
  <c r="G26" i="7"/>
  <c r="H25" i="7"/>
  <c r="I22" i="7"/>
  <c r="G22" i="7"/>
  <c r="H21" i="7"/>
  <c r="I18" i="7"/>
  <c r="G18" i="7"/>
  <c r="H17" i="7"/>
  <c r="I14" i="7"/>
  <c r="G14" i="7"/>
  <c r="H13" i="7"/>
  <c r="I10" i="7"/>
  <c r="G10" i="7"/>
  <c r="H82" i="7"/>
  <c r="D93" i="6"/>
  <c r="H93" i="6"/>
  <c r="G83" i="7"/>
  <c r="L93" i="6"/>
  <c r="F77" i="7"/>
  <c r="G76" i="7"/>
  <c r="G72" i="7"/>
  <c r="H71" i="7"/>
  <c r="I91" i="7"/>
  <c r="H90" i="7"/>
  <c r="F88" i="7"/>
  <c r="C88" i="7"/>
  <c r="G87" i="7"/>
  <c r="G93" i="6"/>
  <c r="C93" i="6"/>
  <c r="F93" i="6"/>
  <c r="F84" i="7"/>
  <c r="F23" i="7"/>
  <c r="F89" i="7"/>
  <c r="D72" i="7"/>
  <c r="D8" i="7"/>
  <c r="C8" i="4"/>
  <c r="D58" i="7"/>
  <c r="C58" i="4"/>
  <c r="D46" i="7"/>
  <c r="C46" i="4"/>
  <c r="C46" i="7"/>
  <c r="D34" i="7"/>
  <c r="C34" i="4"/>
  <c r="D26" i="7"/>
  <c r="C26" i="4"/>
  <c r="C78" i="7"/>
  <c r="C78" i="4"/>
  <c r="C70" i="7"/>
  <c r="C70" i="4"/>
  <c r="D70" i="7"/>
  <c r="C87" i="7"/>
  <c r="C87" i="4"/>
  <c r="D87" i="7"/>
  <c r="C61" i="7"/>
  <c r="D61" i="7"/>
  <c r="C49" i="7"/>
  <c r="D49" i="7"/>
  <c r="C49" i="4"/>
  <c r="C37" i="7"/>
  <c r="C37" i="4"/>
  <c r="D37" i="7"/>
  <c r="C25" i="7"/>
  <c r="D25" i="7"/>
  <c r="C25" i="4"/>
  <c r="C77" i="4"/>
  <c r="C77" i="7"/>
  <c r="D77" i="7"/>
  <c r="C86" i="4"/>
  <c r="D86" i="7"/>
  <c r="C86" i="7"/>
  <c r="C64" i="7"/>
  <c r="D64" i="7"/>
  <c r="C64" i="4"/>
  <c r="C56" i="7"/>
  <c r="D56" i="7"/>
  <c r="C56" i="4"/>
  <c r="C44" i="7"/>
  <c r="C44" i="4"/>
  <c r="C32" i="7"/>
  <c r="C32" i="4"/>
  <c r="D32" i="7"/>
  <c r="C24" i="7"/>
  <c r="C24" i="4"/>
  <c r="D24" i="7"/>
  <c r="C12" i="4"/>
  <c r="C12" i="7"/>
  <c r="C68" i="7"/>
  <c r="C68" i="4"/>
  <c r="D68" i="7"/>
  <c r="C89" i="4"/>
  <c r="D89" i="7"/>
  <c r="C61" i="4"/>
  <c r="C58" i="7"/>
  <c r="C26" i="7"/>
  <c r="D78" i="7"/>
  <c r="D62" i="7"/>
  <c r="C62" i="7"/>
  <c r="C62" i="4"/>
  <c r="D54" i="7"/>
  <c r="C54" i="7"/>
  <c r="C54" i="4"/>
  <c r="D50" i="7"/>
  <c r="C50" i="4"/>
  <c r="D42" i="7"/>
  <c r="E42" i="7" s="1"/>
  <c r="C42" i="4"/>
  <c r="D38" i="7"/>
  <c r="C38" i="4"/>
  <c r="C38" i="7"/>
  <c r="D30" i="7"/>
  <c r="C30" i="4"/>
  <c r="C30" i="7"/>
  <c r="D22" i="7"/>
  <c r="C22" i="4"/>
  <c r="C22" i="7"/>
  <c r="D18" i="7"/>
  <c r="C18" i="4"/>
  <c r="D14" i="7"/>
  <c r="C14" i="4"/>
  <c r="C14" i="7"/>
  <c r="D10" i="7"/>
  <c r="E10" i="7" s="1"/>
  <c r="C10" i="4"/>
  <c r="D74" i="7"/>
  <c r="C74" i="4"/>
  <c r="C74" i="7"/>
  <c r="D91" i="7"/>
  <c r="C91" i="4"/>
  <c r="C91" i="7"/>
  <c r="C83" i="7"/>
  <c r="D83" i="7"/>
  <c r="C83" i="4"/>
  <c r="C65" i="7"/>
  <c r="D65" i="7"/>
  <c r="C57" i="7"/>
  <c r="D57" i="7"/>
  <c r="C53" i="7"/>
  <c r="D53" i="7"/>
  <c r="C45" i="7"/>
  <c r="D45" i="7"/>
  <c r="C41" i="7"/>
  <c r="D41" i="7"/>
  <c r="C41" i="4"/>
  <c r="C33" i="7"/>
  <c r="D33" i="7"/>
  <c r="C33" i="4"/>
  <c r="C29" i="7"/>
  <c r="C29" i="4"/>
  <c r="D29" i="7"/>
  <c r="C21" i="7"/>
  <c r="C21" i="4"/>
  <c r="D21" i="7"/>
  <c r="C17" i="7"/>
  <c r="D17" i="7"/>
  <c r="C17" i="4"/>
  <c r="C13" i="7"/>
  <c r="C13" i="4"/>
  <c r="D13" i="7"/>
  <c r="C9" i="7"/>
  <c r="C9" i="4"/>
  <c r="D9" i="7"/>
  <c r="D73" i="7"/>
  <c r="C73" i="4"/>
  <c r="C73" i="7"/>
  <c r="C69" i="7"/>
  <c r="D69" i="7"/>
  <c r="C69" i="4"/>
  <c r="C90" i="7"/>
  <c r="C90" i="4"/>
  <c r="D90" i="7"/>
  <c r="C8" i="7"/>
  <c r="C50" i="7"/>
  <c r="C34" i="7"/>
  <c r="C18" i="7"/>
  <c r="C60" i="7"/>
  <c r="C60" i="4"/>
  <c r="C52" i="7"/>
  <c r="C52" i="4"/>
  <c r="C48" i="7"/>
  <c r="C48" i="4"/>
  <c r="D48" i="7"/>
  <c r="C40" i="7"/>
  <c r="C40" i="4"/>
  <c r="D40" i="7"/>
  <c r="C36" i="7"/>
  <c r="E36" i="7" s="1"/>
  <c r="C36" i="4"/>
  <c r="C28" i="7"/>
  <c r="C28" i="4"/>
  <c r="C20" i="7"/>
  <c r="C20" i="4"/>
  <c r="C16" i="7"/>
  <c r="C16" i="4"/>
  <c r="D16" i="7"/>
  <c r="D76" i="7"/>
  <c r="C76" i="7"/>
  <c r="C72" i="7"/>
  <c r="C72" i="4"/>
  <c r="D82" i="7"/>
  <c r="C82" i="7"/>
  <c r="D85" i="7"/>
  <c r="C85" i="7"/>
  <c r="C76" i="4"/>
  <c r="C85" i="4"/>
  <c r="D44" i="7"/>
  <c r="D12" i="7"/>
  <c r="I80" i="2"/>
  <c r="C75" i="4"/>
  <c r="C92" i="4"/>
  <c r="C84" i="4"/>
  <c r="C59" i="7"/>
  <c r="C51" i="7"/>
  <c r="C43" i="7"/>
  <c r="C35" i="7"/>
  <c r="E35" i="7" s="1"/>
  <c r="C27" i="7"/>
  <c r="E27" i="7" s="1"/>
  <c r="C19" i="7"/>
  <c r="E19" i="7" s="1"/>
  <c r="C79" i="7"/>
  <c r="E79" i="7" s="1"/>
  <c r="D11" i="7"/>
  <c r="E11" i="7" s="1"/>
  <c r="C11" i="4"/>
  <c r="C47" i="4"/>
  <c r="C39" i="4"/>
  <c r="C31" i="4"/>
  <c r="C23" i="4"/>
  <c r="C15" i="4"/>
  <c r="D84" i="7"/>
  <c r="J93" i="6"/>
  <c r="E93" i="6"/>
  <c r="I93" i="6"/>
  <c r="M93" i="6"/>
  <c r="G80" i="6"/>
  <c r="D80" i="6"/>
  <c r="H80" i="6"/>
  <c r="L80" i="6"/>
  <c r="E80" i="4"/>
  <c r="M80" i="4"/>
  <c r="I80" i="4"/>
  <c r="Q80" i="4"/>
  <c r="E8" i="4"/>
  <c r="I93" i="4"/>
  <c r="N80" i="4"/>
  <c r="Q93" i="4"/>
  <c r="N93" i="4"/>
  <c r="E93" i="4"/>
  <c r="M93" i="4"/>
  <c r="C93" i="3"/>
  <c r="D93" i="3"/>
  <c r="F93" i="3"/>
  <c r="D80" i="3"/>
  <c r="I80" i="3"/>
  <c r="F80" i="3"/>
  <c r="C95" i="3"/>
  <c r="E95" i="3"/>
  <c r="I95" i="3"/>
  <c r="E93" i="3"/>
  <c r="I93" i="3"/>
  <c r="F95" i="3"/>
  <c r="G95" i="3"/>
  <c r="G93" i="3"/>
  <c r="D95" i="3"/>
  <c r="I66" i="2"/>
  <c r="I95" i="2"/>
  <c r="I93" i="2"/>
  <c r="E89" i="7" l="1"/>
  <c r="E52" i="7"/>
  <c r="E51" i="7"/>
  <c r="E68" i="7"/>
  <c r="K95" i="6"/>
  <c r="G23" i="17" s="1"/>
  <c r="G95" i="6"/>
  <c r="E95" i="4"/>
  <c r="E66" i="4"/>
  <c r="M95" i="6"/>
  <c r="H23" i="17" s="1"/>
  <c r="H80" i="7"/>
  <c r="I80" i="7"/>
  <c r="I66" i="7"/>
  <c r="J80" i="8"/>
  <c r="J66" i="8"/>
  <c r="D80" i="8"/>
  <c r="D66" i="8"/>
  <c r="H66" i="7"/>
  <c r="E76" i="7"/>
  <c r="G95" i="7"/>
  <c r="G66" i="7"/>
  <c r="G80" i="8"/>
  <c r="G66" i="8"/>
  <c r="F66" i="7"/>
  <c r="E47" i="7"/>
  <c r="E84" i="7"/>
  <c r="E88" i="7"/>
  <c r="E72" i="7"/>
  <c r="C66" i="7"/>
  <c r="C66" i="4"/>
  <c r="E26" i="7"/>
  <c r="D66" i="7"/>
  <c r="E43" i="7"/>
  <c r="E28" i="7"/>
  <c r="H66" i="3"/>
  <c r="E37" i="7"/>
  <c r="D93" i="8"/>
  <c r="D95" i="8"/>
  <c r="J93" i="8"/>
  <c r="J95" i="8"/>
  <c r="H93" i="7"/>
  <c r="G95" i="8"/>
  <c r="G93" i="8"/>
  <c r="C93" i="7"/>
  <c r="M93" i="8"/>
  <c r="M95" i="8"/>
  <c r="H95" i="8"/>
  <c r="H93" i="8"/>
  <c r="K93" i="8"/>
  <c r="K95" i="8"/>
  <c r="E95" i="8"/>
  <c r="E93" i="8"/>
  <c r="L95" i="6"/>
  <c r="H93" i="3"/>
  <c r="E58" i="7"/>
  <c r="E12" i="7"/>
  <c r="E77" i="7"/>
  <c r="E61" i="7"/>
  <c r="E39" i="7"/>
  <c r="E55" i="7"/>
  <c r="E20" i="7"/>
  <c r="F95" i="7"/>
  <c r="F80" i="7"/>
  <c r="G93" i="7"/>
  <c r="F95" i="6"/>
  <c r="C95" i="6"/>
  <c r="E87" i="7"/>
  <c r="F93" i="7"/>
  <c r="D95" i="6"/>
  <c r="I95" i="7"/>
  <c r="G80" i="7"/>
  <c r="E63" i="7"/>
  <c r="H95" i="7"/>
  <c r="D80" i="7"/>
  <c r="E83" i="7"/>
  <c r="E44" i="7"/>
  <c r="H95" i="6"/>
  <c r="E23" i="17" s="1"/>
  <c r="I95" i="6"/>
  <c r="I93" i="7"/>
  <c r="E59" i="7"/>
  <c r="E60" i="7"/>
  <c r="E8" i="7"/>
  <c r="E90" i="7"/>
  <c r="E69" i="7"/>
  <c r="E57" i="7"/>
  <c r="E91" i="7"/>
  <c r="E14" i="7"/>
  <c r="E30" i="7"/>
  <c r="E24" i="7"/>
  <c r="E32" i="7"/>
  <c r="E25" i="7"/>
  <c r="E49" i="7"/>
  <c r="E56" i="7"/>
  <c r="E64" i="7"/>
  <c r="J95" i="6"/>
  <c r="E95" i="6"/>
  <c r="C23" i="17" s="1"/>
  <c r="C95" i="7"/>
  <c r="E82" i="7"/>
  <c r="E16" i="7"/>
  <c r="E53" i="7"/>
  <c r="E22" i="7"/>
  <c r="H95" i="3"/>
  <c r="C80" i="7"/>
  <c r="E85" i="7"/>
  <c r="E50" i="7"/>
  <c r="E9" i="7"/>
  <c r="E13" i="7"/>
  <c r="E17" i="7"/>
  <c r="E21" i="7"/>
  <c r="E29" i="7"/>
  <c r="E33" i="7"/>
  <c r="E41" i="7"/>
  <c r="E65" i="7"/>
  <c r="E74" i="7"/>
  <c r="E38" i="7"/>
  <c r="E54" i="7"/>
  <c r="E70" i="7"/>
  <c r="D95" i="7"/>
  <c r="E18" i="7"/>
  <c r="E78" i="7"/>
  <c r="E40" i="7"/>
  <c r="E48" i="7"/>
  <c r="E34" i="7"/>
  <c r="E73" i="7"/>
  <c r="E45" i="7"/>
  <c r="E62" i="7"/>
  <c r="E86" i="7"/>
  <c r="D93" i="7"/>
  <c r="E46" i="7"/>
  <c r="H80" i="3"/>
  <c r="F23" i="17" l="1"/>
  <c r="F32" i="17"/>
  <c r="I32" i="17"/>
  <c r="E51" i="17"/>
  <c r="H32" i="17"/>
  <c r="F42" i="17"/>
  <c r="D32" i="17"/>
  <c r="H51" i="17"/>
  <c r="D42" i="17"/>
  <c r="F14" i="17"/>
  <c r="D14" i="17"/>
  <c r="D23" i="17"/>
  <c r="I23" i="17"/>
  <c r="E80" i="7"/>
  <c r="E93" i="7"/>
  <c r="E95" i="7"/>
  <c r="E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sharedStrings.xml><?xml version="1.0" encoding="utf-8"?>
<sst xmlns="http://schemas.openxmlformats.org/spreadsheetml/2006/main" count="6328" uniqueCount="2273">
  <si>
    <t>SP_ID</t>
  </si>
  <si>
    <t>Collection_ID</t>
  </si>
  <si>
    <t>Period_ID</t>
  </si>
  <si>
    <t>Subperiod_ID</t>
  </si>
  <si>
    <t>FSCS KEY (WebPLUS Identification Number)</t>
  </si>
  <si>
    <t>LIB ID (State Assigned Identification Number)</t>
  </si>
  <si>
    <t>Interlibrary Relationship Code</t>
  </si>
  <si>
    <t>Legal Basis Code</t>
  </si>
  <si>
    <t>Administrative Structure Code</t>
  </si>
  <si>
    <t>FSCS Public Library Definition</t>
  </si>
  <si>
    <t>Geographic Code</t>
  </si>
  <si>
    <t>Legal Service Area Boundary Change</t>
  </si>
  <si>
    <t>Population of the Legal Service Area</t>
  </si>
  <si>
    <t>1. Library staff did school/daycare visits to advertise the summer reading program.</t>
  </si>
  <si>
    <t>2. Number of birth to Grade 5 registrants.</t>
  </si>
  <si>
    <t>3. Number of Grade 6 through Grade 12 registrants.</t>
  </si>
  <si>
    <t>4. Total SRP/SRC events/programs held for birth to grade 5</t>
  </si>
  <si>
    <t>5. Total SRP/SRC events/programs held for grade 6-12</t>
  </si>
  <si>
    <t>6. Total attendees at events for birth to grade 5 programs (all ages)</t>
  </si>
  <si>
    <t>7. Total attendees at events for grades 6-12 (all ages)</t>
  </si>
  <si>
    <t>8. Total books circulated (juvenile), June 1 - Aug. 31</t>
  </si>
  <si>
    <t>9. Total books circulated (young adult), June 1 - Aug. 31</t>
  </si>
  <si>
    <t>10. Total minutes read (birth to grade 5)</t>
  </si>
  <si>
    <t>11. Total minutes read (grade 6-12)</t>
  </si>
  <si>
    <t>Mailing Address</t>
  </si>
  <si>
    <t>Mailing City</t>
  </si>
  <si>
    <t>Mailing ZIP Code</t>
  </si>
  <si>
    <t>Mailing ZIP+4 Code</t>
  </si>
  <si>
    <t>Physical Street Address</t>
  </si>
  <si>
    <t>City</t>
  </si>
  <si>
    <t>ZIP Code</t>
  </si>
  <si>
    <t>ZIP+4 Code</t>
  </si>
  <si>
    <t>Legal Name</t>
  </si>
  <si>
    <t>Economic tier</t>
  </si>
  <si>
    <t>Library type</t>
  </si>
  <si>
    <t>County</t>
  </si>
  <si>
    <t>Library Director</t>
  </si>
  <si>
    <t>Phone</t>
  </si>
  <si>
    <t>Fax Number</t>
  </si>
  <si>
    <t>Email Address</t>
  </si>
  <si>
    <t>Person Completing Form</t>
  </si>
  <si>
    <t>Title</t>
  </si>
  <si>
    <t>Phone Number</t>
  </si>
  <si>
    <t>Web Address</t>
  </si>
  <si>
    <t>Status of AE record current to prior year</t>
  </si>
  <si>
    <t>Status of LIBNAME current to prior year</t>
  </si>
  <si>
    <t>Status of ADDRESS current to prior year</t>
  </si>
  <si>
    <t>Reporting Period Start Date (mm/dd/yyyy)</t>
  </si>
  <si>
    <t>Reporting Period End Date (mm/dd/yyyy)</t>
  </si>
  <si>
    <t>Old FSCSKEY</t>
  </si>
  <si>
    <t>User Defined ID, Used to Link Two or More AEs Together</t>
  </si>
  <si>
    <t>14. Number of Central Libraries</t>
  </si>
  <si>
    <t>15. Number of Branch Libraries</t>
  </si>
  <si>
    <t>16. Number of Bookmobiles</t>
  </si>
  <si>
    <t>17. Number of Other Mobile Units</t>
  </si>
  <si>
    <t>Total # of Service Outlets</t>
  </si>
  <si>
    <t>Public Service Hours Per Year (Input field)</t>
  </si>
  <si>
    <t>Public Service Hours Per Year</t>
  </si>
  <si>
    <t>18. FTE Librarians with MLS accredited by ALA</t>
  </si>
  <si>
    <t>19. FTE Librarians with MLS not accredited by ALA</t>
  </si>
  <si>
    <t>Total Librarians</t>
  </si>
  <si>
    <t>20. FTE all other paid staff</t>
  </si>
  <si>
    <t>Total Paid Employees</t>
  </si>
  <si>
    <t>ALA-MLS Librarians As Percent of Total Staff</t>
  </si>
  <si>
    <t>21. Volunteer hours</t>
  </si>
  <si>
    <t>22. Director's Salary</t>
  </si>
  <si>
    <t>23. Director's Salary Range</t>
  </si>
  <si>
    <t>24. Year of Appointment of Library Director</t>
  </si>
  <si>
    <t>25. Assistant Director Salary</t>
  </si>
  <si>
    <t>26. Branch Manager Minimum</t>
  </si>
  <si>
    <t>27. Branch Manager Maximum</t>
  </si>
  <si>
    <t>28. Branch Manager Average</t>
  </si>
  <si>
    <t>29. Branch Manager Education Requirement</t>
  </si>
  <si>
    <t>30. Youth Services Librarian Minimum</t>
  </si>
  <si>
    <t>31. Youth Services Librarian Maximum</t>
  </si>
  <si>
    <t>32. Youth Services Librarian Average</t>
  </si>
  <si>
    <t>33. Youth Services Librarian Education Required for Position</t>
  </si>
  <si>
    <t>34. Adult Services Librarian Minimum Salary</t>
  </si>
  <si>
    <t>35. Adult Services Librarian Maximum Salary</t>
  </si>
  <si>
    <t>36. Adult Services Librarian Average Salary</t>
  </si>
  <si>
    <t>37. Adult Services Librarian Education Requirement</t>
  </si>
  <si>
    <t>38. Technical Services Librarian Minimum</t>
  </si>
  <si>
    <t>39. Technical Services Librarian Maximum</t>
  </si>
  <si>
    <t>40. Technical Services Librarian Average</t>
  </si>
  <si>
    <t>41. Technical Services Librarian Education Requirement</t>
  </si>
  <si>
    <t>42. Circulation Librarian Minimum</t>
  </si>
  <si>
    <t>43. Circulation Librarian Maximum</t>
  </si>
  <si>
    <t>44. Circulation Librarian Average</t>
  </si>
  <si>
    <t>45. Circulation Librarian Education Requirement</t>
  </si>
  <si>
    <t>46. Other Librarian Minimum</t>
  </si>
  <si>
    <t>47. Other Librarian Maximum</t>
  </si>
  <si>
    <t>48. Other Librarian Average</t>
  </si>
  <si>
    <t>49. Youth Services Librarian Minimum</t>
  </si>
  <si>
    <t>50. Youth Services Librarian Maximum</t>
  </si>
  <si>
    <t>51. Youth Services Librarian Average</t>
  </si>
  <si>
    <t>52. Youth Services Librarian Education Requirement</t>
  </si>
  <si>
    <t>53. Adult Services Librarian Minimum</t>
  </si>
  <si>
    <t>54. Adult Services Librarian Maximum</t>
  </si>
  <si>
    <t>55. Adult Services Librarian Average</t>
  </si>
  <si>
    <t>56. Adult Services Librarian Education Requirement</t>
  </si>
  <si>
    <t>57. Technical Services Librarian Minimum</t>
  </si>
  <si>
    <t>58. Technical Services Librarian Maximum</t>
  </si>
  <si>
    <t>59. Technical Services Librarian Average</t>
  </si>
  <si>
    <t>60. Technical Services Librarian Education Requirement</t>
  </si>
  <si>
    <t>61. Circulation Librarian Minimum</t>
  </si>
  <si>
    <t>62. Circulation Librarian Maximum</t>
  </si>
  <si>
    <t>63. Circulation Librarian Average</t>
  </si>
  <si>
    <t>64. Circulation Librarian Education Requirement</t>
  </si>
  <si>
    <t>65. Other Librarian Minimum</t>
  </si>
  <si>
    <t>66. Other Librarian Maximum</t>
  </si>
  <si>
    <t>67. Other Librarian Average</t>
  </si>
  <si>
    <t>68. Library Assistant Minimum</t>
  </si>
  <si>
    <t>69. Library Assistant Maximum</t>
  </si>
  <si>
    <t>70. Library Assistant Average</t>
  </si>
  <si>
    <t>71. Library Assistant Education Requirement</t>
  </si>
  <si>
    <t>72. Library Assistant Minimum</t>
  </si>
  <si>
    <t>73. Library Assistant Maximum</t>
  </si>
  <si>
    <t>74. Library Assistant Average</t>
  </si>
  <si>
    <t>75. Library Assistant Education Requirement</t>
  </si>
  <si>
    <t>** IT Personnel Minimum</t>
  </si>
  <si>
    <t>** IT Personnel Maximum</t>
  </si>
  <si>
    <t>** IT Personnel Average</t>
  </si>
  <si>
    <t>76. Municipal Funds</t>
  </si>
  <si>
    <t>77. County Funds</t>
  </si>
  <si>
    <t>Total Local Income</t>
  </si>
  <si>
    <t>Aid To Public Libraries Grant</t>
  </si>
  <si>
    <t>78. Other State Funds</t>
  </si>
  <si>
    <t>Total State Funds</t>
  </si>
  <si>
    <t>LSTA Grants</t>
  </si>
  <si>
    <t>79. Other Federal Funds</t>
  </si>
  <si>
    <t>Total Federal Funds</t>
  </si>
  <si>
    <t>80. All other funds</t>
  </si>
  <si>
    <t>Total Operating Income</t>
  </si>
  <si>
    <t>81. Salaries &amp;amp; Wages Expenditures</t>
  </si>
  <si>
    <t>82. Employee Benefits Expenditures</t>
  </si>
  <si>
    <t>Total Staff Expenditures</t>
  </si>
  <si>
    <t>83. Print Materials Expenditures</t>
  </si>
  <si>
    <t>84. Electronic Materials Expenditures</t>
  </si>
  <si>
    <t>85. Other Materials Expenditures</t>
  </si>
  <si>
    <t>Total Collection Expenditures</t>
  </si>
  <si>
    <t>86. Other Operating Expenditures</t>
  </si>
  <si>
    <t>Total Operating Expenditures</t>
  </si>
  <si>
    <t>Total Unencumbered Operational Balance</t>
  </si>
  <si>
    <t>Unencumbered operational balance (%)</t>
  </si>
  <si>
    <t>87. Local Capital Revenue</t>
  </si>
  <si>
    <t>88. State Capital Revenue</t>
  </si>
  <si>
    <t>89. Federal Capital Revenue</t>
  </si>
  <si>
    <t>90. Other Capital Revenue</t>
  </si>
  <si>
    <t>Total Capital Revenue</t>
  </si>
  <si>
    <t>91. Total Capital Expenditures</t>
  </si>
  <si>
    <t>Total audiovisual materials</t>
  </si>
  <si>
    <t>Total Holdings</t>
  </si>
  <si>
    <t>92. Cataloged Adult Fiction Books</t>
  </si>
  <si>
    <t>93. Cataloged Young Adult Fiction Books</t>
  </si>
  <si>
    <t>94. Cataloged Juvenile Fiction Books</t>
  </si>
  <si>
    <t>95. Cataloged Adult Non-fiction Books</t>
  </si>
  <si>
    <t>96. Cataloged Young Adult Non-fiction Books</t>
  </si>
  <si>
    <t>97. Cataloged Juvenile Non-fiction Books</t>
  </si>
  <si>
    <t>Total Cataloged Adult Books</t>
  </si>
  <si>
    <t>Total Cataloged Young Adult Books</t>
  </si>
  <si>
    <t>Total Cataloged Juvenile Books</t>
  </si>
  <si>
    <t>Total Book Volumes</t>
  </si>
  <si>
    <t>98. Other Print Materials</t>
  </si>
  <si>
    <t>99. Current Print Serial Subscriptions</t>
  </si>
  <si>
    <t>Serial Volumes</t>
  </si>
  <si>
    <t>Total Book and Serial Volumes</t>
  </si>
  <si>
    <t>100. Audio - Physical Units</t>
  </si>
  <si>
    <t>101. Video - Physical Units</t>
  </si>
  <si>
    <t>102. Other non-print analog materials</t>
  </si>
  <si>
    <t>103. Local/other cooperative agreements</t>
  </si>
  <si>
    <t>104. NCLIVE Licensed Databases</t>
  </si>
  <si>
    <t>Total Licensed Databases</t>
  </si>
  <si>
    <t>105. NCLIVE eBooks</t>
  </si>
  <si>
    <t>106. NCLIVE eAudio</t>
  </si>
  <si>
    <t>107. NCLIVE eVideos</t>
  </si>
  <si>
    <t>108. NCLive ePeriodicals</t>
  </si>
  <si>
    <t>109. NC Kids Ebooks</t>
  </si>
  <si>
    <t>110. NC Kids Audio</t>
  </si>
  <si>
    <t>111. NC Kids Video</t>
  </si>
  <si>
    <t>112. NC Kids ePeriodicals</t>
  </si>
  <si>
    <t>113. e-iNC shared consortial eBooks</t>
  </si>
  <si>
    <t>114. e-iNC shared consortial eAudio</t>
  </si>
  <si>
    <t>115. e-iNC shared consortial eVideos</t>
  </si>
  <si>
    <t>116. e-iNC ePeriodicals</t>
  </si>
  <si>
    <t>117. NCDL shared consortial eBooks</t>
  </si>
  <si>
    <t>118. NCDL shared consortial eAudio</t>
  </si>
  <si>
    <t>119. NCDL shared consortial eVideos</t>
  </si>
  <si>
    <t>120. NCDL ePeriodical subscriptions</t>
  </si>
  <si>
    <t>121. Local eBooks</t>
  </si>
  <si>
    <t>122. Local eAudio</t>
  </si>
  <si>
    <t>123. Local eVideos</t>
  </si>
  <si>
    <t>124. Local ePeriodical subscriptions</t>
  </si>
  <si>
    <t>Total eBooks</t>
  </si>
  <si>
    <t>Total eAudio</t>
  </si>
  <si>
    <t>Total eVideo</t>
  </si>
  <si>
    <t>Total ePeriodical subscriptions</t>
  </si>
  <si>
    <t>125. Number of agencies partnered with to provide programs and services</t>
  </si>
  <si>
    <t>126. 3 Most significant partnerships</t>
  </si>
  <si>
    <t>127. Adult Fiction Book Circulation</t>
  </si>
  <si>
    <t>128. Young Adult Fiction Book Circulation</t>
  </si>
  <si>
    <t>129. Juvenile Fiction Book Circulation</t>
  </si>
  <si>
    <t>130. Adult Non-fiction Book Circulation</t>
  </si>
  <si>
    <t>131. Young Adult Non-fiction Book Circulation</t>
  </si>
  <si>
    <t>132. Juvenile Non-fiction Book Circulation</t>
  </si>
  <si>
    <t>Total Adult Book Circulation</t>
  </si>
  <si>
    <t>Total Young Adult Book Circulation</t>
  </si>
  <si>
    <t>Total Juvenile Book Circulation</t>
  </si>
  <si>
    <t>Total Book Circulation</t>
  </si>
  <si>
    <t>133. Print periodicals circulation</t>
  </si>
  <si>
    <t>Total Print Circulation</t>
  </si>
  <si>
    <t>134. Analog audio circulation</t>
  </si>
  <si>
    <t>135. Analog video circulation</t>
  </si>
  <si>
    <t>136. Other print materials circulation</t>
  </si>
  <si>
    <t>137. Other non-print materials circulation</t>
  </si>
  <si>
    <t>Total Non Print Circulation (analog materials)</t>
  </si>
  <si>
    <t>Physical Item Circulation</t>
  </si>
  <si>
    <t>138. NCLIVE eBook circulation</t>
  </si>
  <si>
    <t>139. Local and other eBook circulation</t>
  </si>
  <si>
    <t>Total eBook circulation</t>
  </si>
  <si>
    <t>140. NCLIVE eAudio circulation</t>
  </si>
  <si>
    <t>141. Local and other eAudio circulation</t>
  </si>
  <si>
    <t>Total eAudio circulation</t>
  </si>
  <si>
    <t>142. NCLIVE eVideo circulation</t>
  </si>
  <si>
    <t>143. Local and other eVideo circulation</t>
  </si>
  <si>
    <t>Total eVideo circulation</t>
  </si>
  <si>
    <t>144. ePeriodicals circulation</t>
  </si>
  <si>
    <t>Use of Electronic Materials</t>
  </si>
  <si>
    <t>145. NCLIVE Retrieval of Electronic Information</t>
  </si>
  <si>
    <t>146. Local Retrieval of Electronic Information (database use)</t>
  </si>
  <si>
    <t>Total Successful Retrieval of Electronic Information (total database use)</t>
  </si>
  <si>
    <t>Electronic Content Use</t>
  </si>
  <si>
    <t>Total audio circulation</t>
  </si>
  <si>
    <t>Total Circulation of AV materials</t>
  </si>
  <si>
    <t>Total Circulation of Materials</t>
  </si>
  <si>
    <t>Total Circulation</t>
  </si>
  <si>
    <t>Total Collection Use</t>
  </si>
  <si>
    <t>147. Circulation of Children's Materials</t>
  </si>
  <si>
    <t>148. Technology Lending Circulation</t>
  </si>
  <si>
    <t>149. Method of data collection: tech lending</t>
  </si>
  <si>
    <t>Technology items available for in-house use</t>
  </si>
  <si>
    <t>Technology items available for check-out outside of library</t>
  </si>
  <si>
    <t>% of Holdings are Video Materials</t>
  </si>
  <si>
    <t>% of Holdings are Serial Subscriptions</t>
  </si>
  <si>
    <t>% of Holdings are Electronic Materials</t>
  </si>
  <si>
    <t>% of Holdings are Electronic Serial Subscriptions</t>
  </si>
  <si>
    <t>% of Holdings are Electronic Books</t>
  </si>
  <si>
    <t>% of Holdings are Databases</t>
  </si>
  <si>
    <t>% of Holdings are Print Materials</t>
  </si>
  <si>
    <t>% of Holdings are Audio Materials</t>
  </si>
  <si>
    <t>Circulation of Children's Materials As Percent of Total Circulation</t>
  </si>
  <si>
    <t>150. Adults</t>
  </si>
  <si>
    <t>151. Juveniles</t>
  </si>
  <si>
    <t>Total Registered Users</t>
  </si>
  <si>
    <t>% of population that is registered user</t>
  </si>
  <si>
    <t>152. Library Visits</t>
  </si>
  <si>
    <t>153. Method of data collection: visits</t>
  </si>
  <si>
    <t>154. Adult Programs in Library</t>
  </si>
  <si>
    <t>155. Young Adult Programs in Library</t>
  </si>
  <si>
    <t>156. Children's Programs in Library</t>
  </si>
  <si>
    <t>157. Adult Programs Outside Library</t>
  </si>
  <si>
    <t>158. Young Adult Programs Outside Library</t>
  </si>
  <si>
    <t>159. Children's Programs Outside Library</t>
  </si>
  <si>
    <t>Total adult programs</t>
  </si>
  <si>
    <t>Total young adult programs</t>
  </si>
  <si>
    <t>Total children's programs</t>
  </si>
  <si>
    <t>Total Programs</t>
  </si>
  <si>
    <t>Total Library Programs in Library</t>
  </si>
  <si>
    <t>Total Library Programs Outside Library</t>
  </si>
  <si>
    <t>170. Adult Program Attendance in Library</t>
  </si>
  <si>
    <t>171. Young Adult Program Attendance in Library</t>
  </si>
  <si>
    <t>172. Children's Program Attendance in Library</t>
  </si>
  <si>
    <t>173. Adult Program Attendance Outside Library</t>
  </si>
  <si>
    <t>174. Young Adult Program Attendance Outside Library</t>
  </si>
  <si>
    <t>175. Children's Program Attendance Outside Library</t>
  </si>
  <si>
    <t>Total Adult Program Attendance</t>
  </si>
  <si>
    <t>Total Young Adult Program Attendance</t>
  </si>
  <si>
    <t>Total Children's Program Attendance</t>
  </si>
  <si>
    <t>GRAND TOTAL Program Attendance</t>
  </si>
  <si>
    <t>Total Program Attendance in Library</t>
  </si>
  <si>
    <t>Total Program Attendance Outside Library</t>
  </si>
  <si>
    <t>Total Attendance Per Program</t>
  </si>
  <si>
    <t>Adult Attendance Per Program</t>
  </si>
  <si>
    <t>Children's Attendance Per Program</t>
  </si>
  <si>
    <t>% of Adult Program Attendance to Total Attendance</t>
  </si>
  <si>
    <t>% of Children's Program Attendance to Total Attendance</t>
  </si>
  <si>
    <t>160. Jobs/career programs (offered)</t>
  </si>
  <si>
    <t>161. Jobs/career programs (attendance)</t>
  </si>
  <si>
    <t>162. Technology programs (offered)</t>
  </si>
  <si>
    <t>163. Technology programs (attendance)</t>
  </si>
  <si>
    <t>164. Early Literacy (offered)</t>
  </si>
  <si>
    <t>165. Early Literacy (attendance)</t>
  </si>
  <si>
    <t>166. Adult Literacy programs (offered)</t>
  </si>
  <si>
    <t>167. Adult Literacy programs (attendance)</t>
  </si>
  <si>
    <t>168. STEAM programs (offered)</t>
  </si>
  <si>
    <t>169. STEAM programs (attendance)</t>
  </si>
  <si>
    <t>176. All transactions (reference transactions)</t>
  </si>
  <si>
    <t>177. Technology transactions</t>
  </si>
  <si>
    <t>178. Jobs/career transactions</t>
  </si>
  <si>
    <t>179. Method of data collection</t>
  </si>
  <si>
    <t>180. Meeting Room Use</t>
  </si>
  <si>
    <t>181. Meeting Room Attendance</t>
  </si>
  <si>
    <t>182. Interlibrary Loans Provided To</t>
  </si>
  <si>
    <t>183. Interlibrary Loans Received From</t>
  </si>
  <si>
    <t>184. Internet terminals used by staff only</t>
  </si>
  <si>
    <t>185. Internet Computers Used by General Public</t>
  </si>
  <si>
    <t>186. Uses of Public Internet Computers Per Year</t>
  </si>
  <si>
    <t>Method of data collection, Uses of Public Computers</t>
  </si>
  <si>
    <t>187. Website Visits</t>
  </si>
  <si>
    <t>188. Wireless Internet Sessions</t>
  </si>
  <si>
    <t>Name of Branch</t>
  </si>
  <si>
    <t>Is this facility owned or leased?</t>
  </si>
  <si>
    <t>Street Address</t>
  </si>
  <si>
    <t>189. Phone</t>
  </si>
  <si>
    <t>190. Fax</t>
  </si>
  <si>
    <t>191. Branch Head</t>
  </si>
  <si>
    <t>192. Email Address</t>
  </si>
  <si>
    <t>Building square feet</t>
  </si>
  <si>
    <t>FTE Staff</t>
  </si>
  <si>
    <t>193. Hours of Operation</t>
  </si>
  <si>
    <t>194. Public Service Hours Per Year</t>
  </si>
  <si>
    <t>195. Number of Weeks Open</t>
  </si>
  <si>
    <t>Unique ID suffix assigned by WebPLUS</t>
  </si>
  <si>
    <t>State assigned identification number</t>
  </si>
  <si>
    <t>WebPLUS Identification number</t>
  </si>
  <si>
    <t>Outlet Type Code</t>
  </si>
  <si>
    <t>Number of Bookmobiles</t>
  </si>
  <si>
    <t>Metropolitan Status Code</t>
  </si>
  <si>
    <t>196. Broadband speed (upload)</t>
  </si>
  <si>
    <t>197. Broadband speed (download)</t>
  </si>
  <si>
    <t>198. Wireless internet provided</t>
  </si>
  <si>
    <t>FSCSKEY</t>
  </si>
  <si>
    <t>LIBID</t>
  </si>
  <si>
    <t>C_RELATN</t>
  </si>
  <si>
    <t>C_LEGBAS</t>
  </si>
  <si>
    <t>C_ADMIN</t>
  </si>
  <si>
    <t>C_FSCS</t>
  </si>
  <si>
    <t>GEOCODE</t>
  </si>
  <si>
    <t>LSABOUND</t>
  </si>
  <si>
    <t>POPU_LSA</t>
  </si>
  <si>
    <t>SRP_SCH_PROMO</t>
  </si>
  <si>
    <t>SRP_0_5_REG</t>
  </si>
  <si>
    <t>SRP_6_12_REG</t>
  </si>
  <si>
    <t>SRP_0_5_EVNTS</t>
  </si>
  <si>
    <t>SRP_6_12_EVNTS</t>
  </si>
  <si>
    <t>SRP_0_5_EVNT_ATT</t>
  </si>
  <si>
    <t>SRP_6_12_EVNT_ATT</t>
  </si>
  <si>
    <t>SRP_0_5_BKS_CIRC</t>
  </si>
  <si>
    <t>SRP_6_12_BKS_CIRC</t>
  </si>
  <si>
    <t>SRP_0_5_MIN</t>
  </si>
  <si>
    <t>SRP_6_12_MIN</t>
  </si>
  <si>
    <t>ADDRES_M</t>
  </si>
  <si>
    <t>CITY_M</t>
  </si>
  <si>
    <t>ZIP_M</t>
  </si>
  <si>
    <t>ZIP4_M</t>
  </si>
  <si>
    <t>ADDRESS</t>
  </si>
  <si>
    <t>CITY_LOC</t>
  </si>
  <si>
    <t>ZIP</t>
  </si>
  <si>
    <t>ZIP4</t>
  </si>
  <si>
    <t>LIBNAME</t>
  </si>
  <si>
    <t>TIER</t>
  </si>
  <si>
    <t>LIBTYPE</t>
  </si>
  <si>
    <t>CNTY</t>
  </si>
  <si>
    <t>LIB_DIR</t>
  </si>
  <si>
    <t>PHONE</t>
  </si>
  <si>
    <t>LIB_FAX</t>
  </si>
  <si>
    <t>LIB_EMAIL</t>
  </si>
  <si>
    <t>RESPONDENT</t>
  </si>
  <si>
    <t>RESP_TITLE</t>
  </si>
  <si>
    <t>RESP_PHONE</t>
  </si>
  <si>
    <t>RESP_FAX</t>
  </si>
  <si>
    <t>RESP_EMAIL</t>
  </si>
  <si>
    <t>WEB_ADDR</t>
  </si>
  <si>
    <t>STATSTRU</t>
  </si>
  <si>
    <t>STATNAME</t>
  </si>
  <si>
    <t>STATADDR</t>
  </si>
  <si>
    <t>STARTDAT</t>
  </si>
  <si>
    <t>ENDDATE</t>
  </si>
  <si>
    <t>OLDID</t>
  </si>
  <si>
    <t>LINKID</t>
  </si>
  <si>
    <t>CENTLIB</t>
  </si>
  <si>
    <t>BRANLIB</t>
  </si>
  <si>
    <t>BKMOB</t>
  </si>
  <si>
    <t>TOT_MOBILE</t>
  </si>
  <si>
    <t>TOT_OUTLETS</t>
  </si>
  <si>
    <t>HRS_OPEN</t>
  </si>
  <si>
    <t>HRS_OPEN_TOT</t>
  </si>
  <si>
    <t>MASTER</t>
  </si>
  <si>
    <t>LIBRNOMAST</t>
  </si>
  <si>
    <t>LIBRARIA</t>
  </si>
  <si>
    <t>OTHPAID</t>
  </si>
  <si>
    <t>TOTSTAFF</t>
  </si>
  <si>
    <t>PERMASTER_TOT</t>
  </si>
  <si>
    <t>VOLUNTEER</t>
  </si>
  <si>
    <t>DIR_SAL</t>
  </si>
  <si>
    <t>DIR_SAL_RANGE</t>
  </si>
  <si>
    <t>DIR_APPT_YR</t>
  </si>
  <si>
    <t>ASSTDIR_SAL</t>
  </si>
  <si>
    <t>BRAM_MINSAL</t>
  </si>
  <si>
    <t>BRAM_MAXSAL</t>
  </si>
  <si>
    <t>BRAM_AVESAL</t>
  </si>
  <si>
    <t>BRAM_ED</t>
  </si>
  <si>
    <t>YSLIBM_MINSAL</t>
  </si>
  <si>
    <t>YSLIBM_MAXSAL</t>
  </si>
  <si>
    <t>YSLIBM_AVESAL</t>
  </si>
  <si>
    <t>YSLIBM_ED</t>
  </si>
  <si>
    <t>ADLIBM_MINSAL</t>
  </si>
  <si>
    <t>ADLIBM_MAXSAL</t>
  </si>
  <si>
    <t>ADLIBM_AVESAL</t>
  </si>
  <si>
    <t>ADLIBM_ED</t>
  </si>
  <si>
    <t>TECHLIBM_MINSAL</t>
  </si>
  <si>
    <t>TECHLIBM_MAXSAL</t>
  </si>
  <si>
    <t>TECHLIBM_AVESAL</t>
  </si>
  <si>
    <t>TECHLIBM_ED</t>
  </si>
  <si>
    <t>CIRLIBM_MINSAL</t>
  </si>
  <si>
    <t>CIRLIBM_MAXSAL</t>
  </si>
  <si>
    <t>CIRLIBM_AVESAL</t>
  </si>
  <si>
    <t>CIRLIBM_ED</t>
  </si>
  <si>
    <t>OTHLIBM_MINSAL</t>
  </si>
  <si>
    <t>OTHLIBM_MAXSAL</t>
  </si>
  <si>
    <t>OTHLIBM_AVESAL</t>
  </si>
  <si>
    <t>YSLIB_MINSAL</t>
  </si>
  <si>
    <t>YSLIB_MAXSAL</t>
  </si>
  <si>
    <t>YSLIB_AVESAL</t>
  </si>
  <si>
    <t>YSLIB_ED</t>
  </si>
  <si>
    <t>ADLIB_MINSAL</t>
  </si>
  <si>
    <t>ADLIB_MAXSAL</t>
  </si>
  <si>
    <t>ADLIB_AVESAL</t>
  </si>
  <si>
    <t>ADLIB_ED</t>
  </si>
  <si>
    <t>TECHLIB_MINSAL</t>
  </si>
  <si>
    <t>TECHLIB_MAXSAL</t>
  </si>
  <si>
    <t>TECHLIB_AVESAL</t>
  </si>
  <si>
    <t>TECHLIB_ED</t>
  </si>
  <si>
    <t>CIRLIB_MINSAL</t>
  </si>
  <si>
    <t>CIRLIB_MAXSAL</t>
  </si>
  <si>
    <t>CIRLIB_AVESAL</t>
  </si>
  <si>
    <t>CIRLIB_ED</t>
  </si>
  <si>
    <t>OTHLIB_MINSAL</t>
  </si>
  <si>
    <t>OTHLIB_MAXSAL</t>
  </si>
  <si>
    <t>OTHLIB_AVESAL</t>
  </si>
  <si>
    <t>LIBASSTM_MINSAL</t>
  </si>
  <si>
    <t>LIBASSTM_MAXSAL</t>
  </si>
  <si>
    <t>LIBASSTM_AVESAL</t>
  </si>
  <si>
    <t>LIBASSTM_ED</t>
  </si>
  <si>
    <t>LIBASST_MINSAL</t>
  </si>
  <si>
    <t>LIBASST_MAXSAL</t>
  </si>
  <si>
    <t>LIBASST_AVESAL</t>
  </si>
  <si>
    <t>LIBASST_ED</t>
  </si>
  <si>
    <t>IT_MINSAL</t>
  </si>
  <si>
    <t>IT_MAXSAL</t>
  </si>
  <si>
    <t>IT_AVESAL</t>
  </si>
  <si>
    <t>MUN_FUNDS</t>
  </si>
  <si>
    <t>CNTY_FUNDS</t>
  </si>
  <si>
    <t>LOCGVT</t>
  </si>
  <si>
    <t>AID_GRNT</t>
  </si>
  <si>
    <t>OTH_ST_FUNDS</t>
  </si>
  <si>
    <t>STGVT</t>
  </si>
  <si>
    <t>LSTA</t>
  </si>
  <si>
    <t>OTH_FED_FUNDS</t>
  </si>
  <si>
    <t>FEDGVT</t>
  </si>
  <si>
    <t>OTHINCM</t>
  </si>
  <si>
    <t>TOTINCM</t>
  </si>
  <si>
    <t>SALARIES</t>
  </si>
  <si>
    <t>BENEFIT</t>
  </si>
  <si>
    <t>STAFFEXP</t>
  </si>
  <si>
    <t>PRMATEXP</t>
  </si>
  <si>
    <t>ELMATEXP</t>
  </si>
  <si>
    <t>OTHMATEX</t>
  </si>
  <si>
    <t>TOTEXPCO</t>
  </si>
  <si>
    <t>OTHOPEXP</t>
  </si>
  <si>
    <t>TOTOPEXP</t>
  </si>
  <si>
    <t>OP_BAL</t>
  </si>
  <si>
    <t>OP_BAL_PRCT</t>
  </si>
  <si>
    <t>LCAP_REV</t>
  </si>
  <si>
    <t>SCAP_REV</t>
  </si>
  <si>
    <t>FCAP_REV</t>
  </si>
  <si>
    <t>OCAP_REV</t>
  </si>
  <si>
    <t>CAP_REV</t>
  </si>
  <si>
    <t>CAPITAL</t>
  </si>
  <si>
    <t>TOT_AV</t>
  </si>
  <si>
    <t>HOLD</t>
  </si>
  <si>
    <t>AD_FIC</t>
  </si>
  <si>
    <t>YA_FIC</t>
  </si>
  <si>
    <t>JUV_FIC</t>
  </si>
  <si>
    <t>AD_NFIC</t>
  </si>
  <si>
    <t>YA_NFIC</t>
  </si>
  <si>
    <t>JUV_NFIC</t>
  </si>
  <si>
    <t>AD_TOT</t>
  </si>
  <si>
    <t>YA_TOT</t>
  </si>
  <si>
    <t>JUV_TOT</t>
  </si>
  <si>
    <t>BKVOL</t>
  </si>
  <si>
    <t>OTH_PRNT</t>
  </si>
  <si>
    <t>SUBSCRIP</t>
  </si>
  <si>
    <t>SERIALS</t>
  </si>
  <si>
    <t>BK_SER_TOT</t>
  </si>
  <si>
    <t>AUDIO_PH</t>
  </si>
  <si>
    <t>VIDEO_PH</t>
  </si>
  <si>
    <t>ONP_MATS</t>
  </si>
  <si>
    <t>DB_LO_OT</t>
  </si>
  <si>
    <t>DB_ST</t>
  </si>
  <si>
    <t>DATABAS</t>
  </si>
  <si>
    <t>EBOOK_NCLIVE</t>
  </si>
  <si>
    <t>AUDIO_NCLIVE</t>
  </si>
  <si>
    <t>VIDEO_NCLIVE</t>
  </si>
  <si>
    <t>EPER_NCLIVE</t>
  </si>
  <si>
    <t>EBOOK_NCKIDS</t>
  </si>
  <si>
    <t>AUDIO_NCKIDS</t>
  </si>
  <si>
    <t>VIDEO_NCKIDS</t>
  </si>
  <si>
    <t>EPER_NCKIDS</t>
  </si>
  <si>
    <t>EBOOK_EINC</t>
  </si>
  <si>
    <t>AUDIO_EINC</t>
  </si>
  <si>
    <t>VIDEO_EINC</t>
  </si>
  <si>
    <t>EPER_EINC</t>
  </si>
  <si>
    <t>EBOOK_NCDL</t>
  </si>
  <si>
    <t>AUDIO_NCDL</t>
  </si>
  <si>
    <t>VIDEO_NCDL</t>
  </si>
  <si>
    <t>EPER_NCDL</t>
  </si>
  <si>
    <t>EBOOK_LOC</t>
  </si>
  <si>
    <t>AUDIO_LOC</t>
  </si>
  <si>
    <t>VIDEO_LOC</t>
  </si>
  <si>
    <t>EPER_LOC</t>
  </si>
  <si>
    <t>EBOOK</t>
  </si>
  <si>
    <t>AUDIO_DL</t>
  </si>
  <si>
    <t>VIDEO_DL</t>
  </si>
  <si>
    <t>EPER</t>
  </si>
  <si>
    <t>PRTN_AGNC</t>
  </si>
  <si>
    <t>IMPPRTN_AGNC</t>
  </si>
  <si>
    <t>CIRC_AD_FIC</t>
  </si>
  <si>
    <t>CIRC_YA_FIC</t>
  </si>
  <si>
    <t>CIRC_JUV_FIC</t>
  </si>
  <si>
    <t>CIRC_AD_NFIC</t>
  </si>
  <si>
    <t>CIRC_YA_NFIC</t>
  </si>
  <si>
    <t>CIRC_JUV_NFIC</t>
  </si>
  <si>
    <t>CIRC_AD_TOT</t>
  </si>
  <si>
    <t>CIRC_YA_TOT</t>
  </si>
  <si>
    <t>CIRC_JUV_TOT</t>
  </si>
  <si>
    <t>CIRC_BK</t>
  </si>
  <si>
    <t>CIRC_PER</t>
  </si>
  <si>
    <t>CIRC_PRINT</t>
  </si>
  <si>
    <t>CIRC_AUD_AN</t>
  </si>
  <si>
    <t>CIRC_VID</t>
  </si>
  <si>
    <t>CIRC_OTH_PRNT</t>
  </si>
  <si>
    <t>CIRC_OTH_NPRNT</t>
  </si>
  <si>
    <t>CIRC_NPRNT</t>
  </si>
  <si>
    <t>CIRC_PHYSICAL</t>
  </si>
  <si>
    <t>CIRC_EBKS_NCLIVE</t>
  </si>
  <si>
    <t>CIRC_EBKS_OTH</t>
  </si>
  <si>
    <t>CIRC_EBKS</t>
  </si>
  <si>
    <t>CIRC_EAUD_NCLIVE</t>
  </si>
  <si>
    <t>CIRC_EAUD_OTH</t>
  </si>
  <si>
    <t>CIRC_EAUD</t>
  </si>
  <si>
    <t>CIRC_EVID_NCLIVE</t>
  </si>
  <si>
    <t>CIRC_EVID_OTH</t>
  </si>
  <si>
    <t>CIRC_EVID</t>
  </si>
  <si>
    <t>CIRC_EPER</t>
  </si>
  <si>
    <t>ELMATCIR</t>
  </si>
  <si>
    <t>CIRC_ERETRIEVE_NCLIVE</t>
  </si>
  <si>
    <t>CIRC_ERETRIEVE_LOCAL</t>
  </si>
  <si>
    <t>ERETRIEVE</t>
  </si>
  <si>
    <t>ECNTUSE</t>
  </si>
  <si>
    <t>CIRC_AUD</t>
  </si>
  <si>
    <t>TOTCIR_AV</t>
  </si>
  <si>
    <t>TOTCIR</t>
  </si>
  <si>
    <t>TOTCIR_CATEGORIES</t>
  </si>
  <si>
    <t>TOTCOLLUSE</t>
  </si>
  <si>
    <t>KIDCIRCL</t>
  </si>
  <si>
    <t>TECH_LND</t>
  </si>
  <si>
    <t>TECHLEND_METH</t>
  </si>
  <si>
    <t>TECH_INHOUSE</t>
  </si>
  <si>
    <t>TECH_OUTSIDE</t>
  </si>
  <si>
    <t>PERCENT_HOLD_VIDS</t>
  </si>
  <si>
    <t>PERCENT_HOLD_SERIALS</t>
  </si>
  <si>
    <t>PERCENT_HOLD_EMATS</t>
  </si>
  <si>
    <t>PERCENT_HOLD_ESUBS</t>
  </si>
  <si>
    <t>PERCENT_HOLD_EBKS</t>
  </si>
  <si>
    <t>PERCENT_HOLD_DATABASES</t>
  </si>
  <si>
    <t>PERCENT_HOLD_PRINT</t>
  </si>
  <si>
    <t>PERCENT_HOLD_AUD</t>
  </si>
  <si>
    <t>KIDCIR_CAP</t>
  </si>
  <si>
    <t>AD_BORR</t>
  </si>
  <si>
    <t>JUV_BORR</t>
  </si>
  <si>
    <t>REGBOR</t>
  </si>
  <si>
    <t>PERC_REGBOR</t>
  </si>
  <si>
    <t>VISITS</t>
  </si>
  <si>
    <t>VISITS_METH</t>
  </si>
  <si>
    <t>ADPRO_LIB</t>
  </si>
  <si>
    <t>YAPRO_LIB</t>
  </si>
  <si>
    <t>KIDPRO_LIB</t>
  </si>
  <si>
    <t>ADPRO_OUT</t>
  </si>
  <si>
    <t>YAPRO_OUT</t>
  </si>
  <si>
    <t>KIDPRO_OUT</t>
  </si>
  <si>
    <t>ADPRO</t>
  </si>
  <si>
    <t>YAPRO</t>
  </si>
  <si>
    <t>KIDPRO</t>
  </si>
  <si>
    <t>TOTPRO</t>
  </si>
  <si>
    <t>TOTPRO_LIB</t>
  </si>
  <si>
    <t>TOTPRO_OUT</t>
  </si>
  <si>
    <t>ADATTEN_LIB</t>
  </si>
  <si>
    <t>YAATTEN_LIB</t>
  </si>
  <si>
    <t>KIDATTEN_LIB</t>
  </si>
  <si>
    <t>ADATTEN_OUT</t>
  </si>
  <si>
    <t>YAATTEN_OUT</t>
  </si>
  <si>
    <t>KIDATTEN_OUT</t>
  </si>
  <si>
    <t>ADATTEN</t>
  </si>
  <si>
    <t>YAATTEN</t>
  </si>
  <si>
    <t>KIDATTEN</t>
  </si>
  <si>
    <t>TOTATTEN</t>
  </si>
  <si>
    <t>TOTATTEN_LIB</t>
  </si>
  <si>
    <t>TOTATTEN_OUT</t>
  </si>
  <si>
    <t>TOTATT_PRG</t>
  </si>
  <si>
    <t>ADATT_PRG</t>
  </si>
  <si>
    <t>CHATT_PRG</t>
  </si>
  <si>
    <t>PERCENT_ADATT_TOT_ATT</t>
  </si>
  <si>
    <t>PERCENT_CHATT_TOT_ATT</t>
  </si>
  <si>
    <t>CAREER_PRO</t>
  </si>
  <si>
    <t>CAREER_ATT</t>
  </si>
  <si>
    <t>TECH_PRO</t>
  </si>
  <si>
    <t>TECH_ATT</t>
  </si>
  <si>
    <t>ELIT_PRO</t>
  </si>
  <si>
    <t>ELIT_ATT</t>
  </si>
  <si>
    <t>ADLIT_PRO</t>
  </si>
  <si>
    <t>ADLIT_ATT</t>
  </si>
  <si>
    <t>STEAM_PRO</t>
  </si>
  <si>
    <t>STEAM_ATT</t>
  </si>
  <si>
    <t>REFERENC</t>
  </si>
  <si>
    <t>TECH_TRANS</t>
  </si>
  <si>
    <t>CAREER_TRANS</t>
  </si>
  <si>
    <t>REFR_METH</t>
  </si>
  <si>
    <t>MTG_RM_USE</t>
  </si>
  <si>
    <t>MTG_RM_ATT</t>
  </si>
  <si>
    <t>LOANTO</t>
  </si>
  <si>
    <t>LOANFM</t>
  </si>
  <si>
    <t>STFTERMS</t>
  </si>
  <si>
    <t>GPTERMS</t>
  </si>
  <si>
    <t>PITUSR</t>
  </si>
  <si>
    <t>PITUSR_METH</t>
  </si>
  <si>
    <t>VIRTUAL_VIS</t>
  </si>
  <si>
    <t>WIRELESS</t>
  </si>
  <si>
    <t>OUT_LIBNAME</t>
  </si>
  <si>
    <t>FAC_OWN</t>
  </si>
  <si>
    <t>OUT_ADDRES_M</t>
  </si>
  <si>
    <t>OUT_CITY_M</t>
  </si>
  <si>
    <t>OUT_ZIP_M</t>
  </si>
  <si>
    <t>OUT_ZIP4_M</t>
  </si>
  <si>
    <t>OUT_ADDRESS</t>
  </si>
  <si>
    <t>OUT_CITY</t>
  </si>
  <si>
    <t>OUT_ZIP</t>
  </si>
  <si>
    <t>OUT_ZIP4</t>
  </si>
  <si>
    <t>OUT_CNTY</t>
  </si>
  <si>
    <t>OUT_PHONE</t>
  </si>
  <si>
    <t>OUT_FAX</t>
  </si>
  <si>
    <t>BR_HEAD</t>
  </si>
  <si>
    <t>OUT_EMAIL</t>
  </si>
  <si>
    <t>SQ_FEET</t>
  </si>
  <si>
    <t>OUT_STF</t>
  </si>
  <si>
    <t>OUT_HOURS_OP</t>
  </si>
  <si>
    <t>HOURS</t>
  </si>
  <si>
    <t>WKS_OPEN</t>
  </si>
  <si>
    <t>OUT_FSCS_SEQ</t>
  </si>
  <si>
    <t>OUT_LIBID</t>
  </si>
  <si>
    <t>OUT_FSCSKEY</t>
  </si>
  <si>
    <t>C_OUT_TY</t>
  </si>
  <si>
    <t>L_NUM_BM</t>
  </si>
  <si>
    <t>C_MSA</t>
  </si>
  <si>
    <t>BRD_SPD_UPLOAD</t>
  </si>
  <si>
    <t>BRD_SPD_DOWN</t>
  </si>
  <si>
    <t>WRLS</t>
  </si>
  <si>
    <t>NC0103</t>
  </si>
  <si>
    <t>C-ALAMANCE</t>
  </si>
  <si>
    <t>NO</t>
  </si>
  <si>
    <t>CO</t>
  </si>
  <si>
    <t>MO</t>
  </si>
  <si>
    <t>Y</t>
  </si>
  <si>
    <t>CO1</t>
  </si>
  <si>
    <t>N</t>
  </si>
  <si>
    <t>Yes</t>
  </si>
  <si>
    <t>342 S SPRING ST</t>
  </si>
  <si>
    <t>BURLINGTON</t>
  </si>
  <si>
    <t>ALAMANCE COUNTY PUBLIC LIBRARIES</t>
  </si>
  <si>
    <t>ALAMANCE</t>
  </si>
  <si>
    <t>Mary Wilkerson</t>
  </si>
  <si>
    <t>(336) 513-4753</t>
  </si>
  <si>
    <t>(336) 229-3592</t>
  </si>
  <si>
    <t>mwilkerson@alamancelibraries.org</t>
  </si>
  <si>
    <t>Terri Lamm</t>
  </si>
  <si>
    <t>Office Manager</t>
  </si>
  <si>
    <t>(336) 513-4755</t>
  </si>
  <si>
    <t>tlamm@alamancelibraries.org</t>
  </si>
  <si>
    <t>www.alamancelibraries.org</t>
  </si>
  <si>
    <t>MAY MEMORIAL LIBRARY</t>
  </si>
  <si>
    <t>City Owned</t>
  </si>
  <si>
    <t>C-ALAMANCE-MA</t>
  </si>
  <si>
    <t>CE</t>
  </si>
  <si>
    <t>NC0001</t>
  </si>
  <si>
    <t>R-ALBEMARLE</t>
  </si>
  <si>
    <t>MJ</t>
  </si>
  <si>
    <t>MC1</t>
  </si>
  <si>
    <t>PO BOX 68</t>
  </si>
  <si>
    <t>WINTON</t>
  </si>
  <si>
    <t>303 W TRYON ST</t>
  </si>
  <si>
    <t>ALBEMARLE REGIONAL LIBRARY</t>
  </si>
  <si>
    <t>Regional</t>
  </si>
  <si>
    <t>HERTFORD</t>
  </si>
  <si>
    <t>Jennifer Patterson</t>
  </si>
  <si>
    <t>(252) 358-7832</t>
  </si>
  <si>
    <t>(252) 358-7868</t>
  </si>
  <si>
    <t>jpatterson@arlnc.org</t>
  </si>
  <si>
    <t>Director</t>
  </si>
  <si>
    <t>www.arlnc.org</t>
  </si>
  <si>
    <t>HERTFORD COUNTY LIBRARY</t>
  </si>
  <si>
    <t>County Owned</t>
  </si>
  <si>
    <t>R-ALBEMARLE-H</t>
  </si>
  <si>
    <t>NC0016</t>
  </si>
  <si>
    <t>C-ALEXANDER</t>
  </si>
  <si>
    <t>77 1ST AVE SW</t>
  </si>
  <si>
    <t>TAYLORSVILLE</t>
  </si>
  <si>
    <t>ALEXANDER COUNTY LIBRARY</t>
  </si>
  <si>
    <t>ALEXANDER</t>
  </si>
  <si>
    <t>Laura Crooks</t>
  </si>
  <si>
    <t>(828) 632-4058</t>
  </si>
  <si>
    <t>(828) 632-1094</t>
  </si>
  <si>
    <t>lcrooks@alexandercountync.gov</t>
  </si>
  <si>
    <t>www.alexanderlibrary.org</t>
  </si>
  <si>
    <t>C-ALEXANDER-A</t>
  </si>
  <si>
    <t>NC0002</t>
  </si>
  <si>
    <t>R-APPALACHIAN</t>
  </si>
  <si>
    <t>MA</t>
  </si>
  <si>
    <t>148 LIBRARY DR</t>
  </si>
  <si>
    <t>WEST JEFFERSON</t>
  </si>
  <si>
    <t>APPALACHIAN REGIONAL LIBRARY</t>
  </si>
  <si>
    <t>ASHE</t>
  </si>
  <si>
    <t>Jane W. Blackburn</t>
  </si>
  <si>
    <t>(336) 846-2041</t>
  </si>
  <si>
    <t>(336) 846-7503</t>
  </si>
  <si>
    <t>jblackburn@arlibrary.org</t>
  </si>
  <si>
    <t>Director of Libraries</t>
  </si>
  <si>
    <t>www.arlibrary.org</t>
  </si>
  <si>
    <t>ASHE COUNTY LIBRARY</t>
  </si>
  <si>
    <t>R-APPALACHIAN-A</t>
  </si>
  <si>
    <t>BR</t>
  </si>
  <si>
    <t>NC0003</t>
  </si>
  <si>
    <t>R-AVERY-MITCHELL</t>
  </si>
  <si>
    <t>PO DRAWER 310</t>
  </si>
  <si>
    <t>BURNSVILLE</t>
  </si>
  <si>
    <t>289 BURNSVILLE SCHOOL RD</t>
  </si>
  <si>
    <t>AVERY-MITCHELL-YANCEY REGIONAL LIBRARY</t>
  </si>
  <si>
    <t>YANCEY</t>
  </si>
  <si>
    <t>Amber Briggs</t>
  </si>
  <si>
    <t>(828) 682-4476</t>
  </si>
  <si>
    <t>(828) 682-6277</t>
  </si>
  <si>
    <t>director@amyregionallibrary.org</t>
  </si>
  <si>
    <t>Rella Dale</t>
  </si>
  <si>
    <t>Administrative Assistant</t>
  </si>
  <si>
    <t>tech@amyregionallibrary.org</t>
  </si>
  <si>
    <t>www.amyregionallibrary.org</t>
  </si>
  <si>
    <t>AVERY COUNTY LIBRARY</t>
  </si>
  <si>
    <t>PO BOX 250</t>
  </si>
  <si>
    <t>NEWLAND</t>
  </si>
  <si>
    <t>150 LIBRARY PL</t>
  </si>
  <si>
    <t>AVERY</t>
  </si>
  <si>
    <t>R-AVERY-MITCHELL-A</t>
  </si>
  <si>
    <t>NC0004</t>
  </si>
  <si>
    <t>R-BHM</t>
  </si>
  <si>
    <t>MC2</t>
  </si>
  <si>
    <t>158 N MARKET ST</t>
  </si>
  <si>
    <t>WASHINGTON</t>
  </si>
  <si>
    <t>BEAUFORT-HYDE-MARTIN REGIONAL LIBRARY</t>
  </si>
  <si>
    <t>BEAUFORT</t>
  </si>
  <si>
    <t>Hannah Easley</t>
  </si>
  <si>
    <t>(252) 946-6401</t>
  </si>
  <si>
    <t>(252) 946-0352</t>
  </si>
  <si>
    <t>heasley@bhmlib.org</t>
  </si>
  <si>
    <t>www.bhmlib.org</t>
  </si>
  <si>
    <t>BHM REGIONAL LIBRARY</t>
  </si>
  <si>
    <t>Leased</t>
  </si>
  <si>
    <t>R-BHM-BHM</t>
  </si>
  <si>
    <t>NC0017</t>
  </si>
  <si>
    <t>C-BLADEN</t>
  </si>
  <si>
    <t>PO BOX 1419</t>
  </si>
  <si>
    <t>ELIZABETHTOWN</t>
  </si>
  <si>
    <t>111 N CYPRESS ST</t>
  </si>
  <si>
    <t>BLADEN COUNTY PUBLIC LIBRARY</t>
  </si>
  <si>
    <t>BLADEN</t>
  </si>
  <si>
    <t>Kelsey Edwards</t>
  </si>
  <si>
    <t>(910) 862-6990</t>
  </si>
  <si>
    <t>(910) 862-8777</t>
  </si>
  <si>
    <t>kedwards@bladenco.org</t>
  </si>
  <si>
    <t>(910) 862-6994</t>
  </si>
  <si>
    <t>http://bladenco.libguides.com/home</t>
  </si>
  <si>
    <t>C-BLADEN-E</t>
  </si>
  <si>
    <t>NC0046</t>
  </si>
  <si>
    <t>C-NASH-N</t>
  </si>
  <si>
    <t>CO2</t>
  </si>
  <si>
    <t>727 N GRACE ST</t>
  </si>
  <si>
    <t>ROCKY MOUNT</t>
  </si>
  <si>
    <t>BRASWELL MEMORIAL LIBRARY</t>
  </si>
  <si>
    <t>NASH</t>
  </si>
  <si>
    <t>Catherine H. Roche</t>
  </si>
  <si>
    <t>(252) 442-1951</t>
  </si>
  <si>
    <t>(252) 442-7366</t>
  </si>
  <si>
    <t>croche@braswell-library.org</t>
  </si>
  <si>
    <t>Catherine Roche</t>
  </si>
  <si>
    <t>www.braswell-library.org</t>
  </si>
  <si>
    <t>BRASWELL MEMORIAL PUBLIC LIBRARY</t>
  </si>
  <si>
    <t>Other</t>
  </si>
  <si>
    <t>NC0018</t>
  </si>
  <si>
    <t>C-BRUNSWICK</t>
  </si>
  <si>
    <t>No</t>
  </si>
  <si>
    <t>109 W MOORE ST</t>
  </si>
  <si>
    <t>SOUTHPORT</t>
  </si>
  <si>
    <t>BRUNSWICK COUNTY LIBRARY</t>
  </si>
  <si>
    <t>BRUNSWICK</t>
  </si>
  <si>
    <t>Maurice Tate</t>
  </si>
  <si>
    <t>(910) 278-4283</t>
  </si>
  <si>
    <t>(910) 278-4049</t>
  </si>
  <si>
    <t>maurice.tate@brunswickcountync.gov</t>
  </si>
  <si>
    <t>www.brunswickcountync.gov/library</t>
  </si>
  <si>
    <t>HARPER LIBRARY</t>
  </si>
  <si>
    <t>C-BRUNSWICK-S</t>
  </si>
  <si>
    <t>NC0019</t>
  </si>
  <si>
    <t>C-BUNCOMBE</t>
  </si>
  <si>
    <t>67 HAYWOOD ST</t>
  </si>
  <si>
    <t>ASHEVILLE</t>
  </si>
  <si>
    <t>BUNCOMBE COUNTY PUBLIC LIBRARIES</t>
  </si>
  <si>
    <t>BUNCOMBE</t>
  </si>
  <si>
    <t>Georgianna J. Francis</t>
  </si>
  <si>
    <t>(828) 250-4714</t>
  </si>
  <si>
    <t>gigi.francis@buncombecounty.org</t>
  </si>
  <si>
    <t>Georgianna Francis</t>
  </si>
  <si>
    <t>www.buncombecounty.org/library</t>
  </si>
  <si>
    <t>PACK MEMORIAL LIBRARY</t>
  </si>
  <si>
    <t>C-BUNCOMBE-A</t>
  </si>
  <si>
    <t>NC0020</t>
  </si>
  <si>
    <t>C-BURKE</t>
  </si>
  <si>
    <t>204 S KING ST</t>
  </si>
  <si>
    <t>MORGANTON</t>
  </si>
  <si>
    <t>BURKE COUNTY PUBLIC LIBRARY</t>
  </si>
  <si>
    <t>BURKE</t>
  </si>
  <si>
    <t>Jim Wilson</t>
  </si>
  <si>
    <t>(828) 764-9276</t>
  </si>
  <si>
    <t>(828) 433-1914</t>
  </si>
  <si>
    <t>jwilson@bcpls.org</t>
  </si>
  <si>
    <t>www.bcpls.org</t>
  </si>
  <si>
    <t>C-BURKE-M</t>
  </si>
  <si>
    <t>NC0021</t>
  </si>
  <si>
    <t>C-CABARRUS</t>
  </si>
  <si>
    <t>27 UNION ST N</t>
  </si>
  <si>
    <t>CONCORD</t>
  </si>
  <si>
    <t>CABARRUS COUNTY PUBLIC LIBRARY</t>
  </si>
  <si>
    <t>CABARRUS</t>
  </si>
  <si>
    <t>Emery Ortiz</t>
  </si>
  <si>
    <t>(704) 920-2063</t>
  </si>
  <si>
    <t>(704) 784-3822</t>
  </si>
  <si>
    <t>emortiz@cabarruscounty.us</t>
  </si>
  <si>
    <t>www.cabarruscounty.us/library</t>
  </si>
  <si>
    <t>C-CABARRUS-C</t>
  </si>
  <si>
    <t>NC0022</t>
  </si>
  <si>
    <t>C-CALDWELL</t>
  </si>
  <si>
    <t>120 HOSPITAL AVE</t>
  </si>
  <si>
    <t>LENOIR</t>
  </si>
  <si>
    <t>CALDWELL COUNTY PUBLIC LIBRARY</t>
  </si>
  <si>
    <t>CALDWELL</t>
  </si>
  <si>
    <t>Lesley Mason</t>
  </si>
  <si>
    <t>(828) 757-1288</t>
  </si>
  <si>
    <t>(828) 757-1413</t>
  </si>
  <si>
    <t>lmason@caldwellcountync.org</t>
  </si>
  <si>
    <t>Lesley mason</t>
  </si>
  <si>
    <t>www.ccpl.us</t>
  </si>
  <si>
    <t>C-CALDWELL-C</t>
  </si>
  <si>
    <t>NC0107</t>
  </si>
  <si>
    <t>C-CASWELL</t>
  </si>
  <si>
    <t>SO</t>
  </si>
  <si>
    <t>161 MAIN STREET EAST</t>
  </si>
  <si>
    <t>YANCEYVILLE</t>
  </si>
  <si>
    <t>CASWELL COUNTY PUBLIC LIBRARY</t>
  </si>
  <si>
    <t>CASWELL</t>
  </si>
  <si>
    <t>Rhonda H. Griffin</t>
  </si>
  <si>
    <t>(336) 694-6241</t>
  </si>
  <si>
    <t>(336) 694-9846</t>
  </si>
  <si>
    <t>rgriffin@caswellcountync.gov</t>
  </si>
  <si>
    <t>www.caswellcountync.gov/library/</t>
  </si>
  <si>
    <t>GUNN MEMORIAL PUBLIC LIBRARY</t>
  </si>
  <si>
    <t>NC0023</t>
  </si>
  <si>
    <t>C-CATAWBA</t>
  </si>
  <si>
    <t>115 W C ST</t>
  </si>
  <si>
    <t>NEWTON</t>
  </si>
  <si>
    <t>CATAWBA COUNTY LIBRARY</t>
  </si>
  <si>
    <t>CATAWBA</t>
  </si>
  <si>
    <t>Suzanne M White</t>
  </si>
  <si>
    <t>(828) 465-8660</t>
  </si>
  <si>
    <t>(828) 465-8983</t>
  </si>
  <si>
    <t>suzanne@catawbacountync.gov</t>
  </si>
  <si>
    <t>Siobhan Loendorf</t>
  </si>
  <si>
    <t>Assistant Director</t>
  </si>
  <si>
    <t>(828) 465-8292</t>
  </si>
  <si>
    <t>sloendorf@catawbacountync.gov</t>
  </si>
  <si>
    <t>www.catawbacountync.gov/library</t>
  </si>
  <si>
    <t>C-CATAWBA-C</t>
  </si>
  <si>
    <t>NC0071</t>
  </si>
  <si>
    <t>M-CHAPEL HILL</t>
  </si>
  <si>
    <t>CI</t>
  </si>
  <si>
    <t>CI1</t>
  </si>
  <si>
    <t>100 LIBRARY DR</t>
  </si>
  <si>
    <t>CHAPEL HILL</t>
  </si>
  <si>
    <t>CHAPEL HILL PUBLIC LIBRARY</t>
  </si>
  <si>
    <t>Municipal</t>
  </si>
  <si>
    <t>ORANGE</t>
  </si>
  <si>
    <t>Susan Brown</t>
  </si>
  <si>
    <t>(919) 968-2777</t>
  </si>
  <si>
    <t>(919) 968-2838</t>
  </si>
  <si>
    <t>sbrown2@townofchapelhill.org</t>
  </si>
  <si>
    <t>Meeghan Rosen</t>
  </si>
  <si>
    <t>(919) 969-2046</t>
  </si>
  <si>
    <t>mrosen@townofchapelhill.org</t>
  </si>
  <si>
    <t>http://chapelhillpubliclibrary.org</t>
  </si>
  <si>
    <t>M-CHAPELHILL-C</t>
  </si>
  <si>
    <t>NC0045</t>
  </si>
  <si>
    <t>C-MECKLENBURG</t>
  </si>
  <si>
    <t>OT</t>
  </si>
  <si>
    <t>310 N TRYON ST</t>
  </si>
  <si>
    <t>CHARLOTTE</t>
  </si>
  <si>
    <t>CHARLOTTE MECKLENBURG LIBRARY</t>
  </si>
  <si>
    <t>MECKLENBURG</t>
  </si>
  <si>
    <t>DAVID SINGLETON</t>
  </si>
  <si>
    <t>(704) 416-0612</t>
  </si>
  <si>
    <t>(704) 416-0677</t>
  </si>
  <si>
    <t>dsingleton@cmlibrary.org</t>
  </si>
  <si>
    <t>DONOVAN CRAIG</t>
  </si>
  <si>
    <t>ADMINISTRATIVE SUPPORT COORDINATOR</t>
  </si>
  <si>
    <t>(704) 416-0606</t>
  </si>
  <si>
    <t>dcraig@cmlibrary.org</t>
  </si>
  <si>
    <t>www.cmlibrary.org</t>
  </si>
  <si>
    <t>C-MECKLENBURG-C</t>
  </si>
  <si>
    <t>NC0104</t>
  </si>
  <si>
    <t>C-CHATHAM</t>
  </si>
  <si>
    <t>197 NC HWY 87 N</t>
  </si>
  <si>
    <t>PITTSBORO</t>
  </si>
  <si>
    <t>CHATHAM COUNTY PUBLIC LIBRARIES</t>
  </si>
  <si>
    <t>CHATHAM</t>
  </si>
  <si>
    <t>Linda Clarke</t>
  </si>
  <si>
    <t>(919) 545-8081</t>
  </si>
  <si>
    <t>(919) 545-8080</t>
  </si>
  <si>
    <t>lclarke@chathamlibraries.org</t>
  </si>
  <si>
    <t>www.chathamlibraries.org</t>
  </si>
  <si>
    <t>WREN MEMORIAL LIBRARY</t>
  </si>
  <si>
    <t>500 N 2ND AVE</t>
  </si>
  <si>
    <t>SILER CITY</t>
  </si>
  <si>
    <t>C-CHATHAM-W</t>
  </si>
  <si>
    <t>NC0024</t>
  </si>
  <si>
    <t>C-CLEVELAND</t>
  </si>
  <si>
    <t>PO BOX 1120</t>
  </si>
  <si>
    <t>SHELBY</t>
  </si>
  <si>
    <t>104 HOWIE DR</t>
  </si>
  <si>
    <t>CLEVELAND COUNTY MEMORIAL LIBRARY</t>
  </si>
  <si>
    <t>CLEVELAND</t>
  </si>
  <si>
    <t>Carol H. WIlson</t>
  </si>
  <si>
    <t>(704) 487-9069</t>
  </si>
  <si>
    <t>(704) 487-4856</t>
  </si>
  <si>
    <t>cwilson@ccml.org</t>
  </si>
  <si>
    <t>Carol Wilson</t>
  </si>
  <si>
    <t>www.ccml.org</t>
  </si>
  <si>
    <t>C-CLEVELAND-C</t>
  </si>
  <si>
    <t>NC0025</t>
  </si>
  <si>
    <t>C-COLUMBUS</t>
  </si>
  <si>
    <t>407 N JK POWELL BLVD</t>
  </si>
  <si>
    <t>WHITEVILLE</t>
  </si>
  <si>
    <t>COLUMBUS COUNTY PUBLIC LIBRARY</t>
  </si>
  <si>
    <t>COLUMBUS</t>
  </si>
  <si>
    <t>Morris Pridgen Jr.</t>
  </si>
  <si>
    <t>(910) 642-3116</t>
  </si>
  <si>
    <t>(910) 642-3839</t>
  </si>
  <si>
    <t>mpridgen@columbusco.org</t>
  </si>
  <si>
    <t>Morris Pridgen, Jr.</t>
  </si>
  <si>
    <t>(910) 641-3977</t>
  </si>
  <si>
    <t>http://ccplnc.weebly.com</t>
  </si>
  <si>
    <t>C-COLUMBUS-CO</t>
  </si>
  <si>
    <t>NC0006</t>
  </si>
  <si>
    <t>R-CRAVEN-PAMLICO</t>
  </si>
  <si>
    <t>400 JOHNSON ST</t>
  </si>
  <si>
    <t>NEW BERN</t>
  </si>
  <si>
    <t>CRAVEN-PAMLICO-CARTERET REGIONAL LIBRARY</t>
  </si>
  <si>
    <t>CRAVEN</t>
  </si>
  <si>
    <t>Susan W. Simpson</t>
  </si>
  <si>
    <t>(252) 728-2050</t>
  </si>
  <si>
    <t>(252) 728-1857</t>
  </si>
  <si>
    <t>susansimpson@carteretcountylibraries.org</t>
  </si>
  <si>
    <t>www.cpclib.org</t>
  </si>
  <si>
    <t>BOGUE BANKS PUBLIC LIBRARY</t>
  </si>
  <si>
    <t>320 SALTER PATH RD</t>
  </si>
  <si>
    <t>PINE KNOLL SHORES</t>
  </si>
  <si>
    <t>CARTERET</t>
  </si>
  <si>
    <t>R-CRAVEN-PAMLICO-B</t>
  </si>
  <si>
    <t>NC0026</t>
  </si>
  <si>
    <t>C-CUMBERLAND</t>
  </si>
  <si>
    <t>300 MAIDEN LANE</t>
  </si>
  <si>
    <t>FAYETTEVILLE</t>
  </si>
  <si>
    <t>300 MAIDEN LN</t>
  </si>
  <si>
    <t>CUMBERLAND COUNTY PUBLIC LIBRARY &amp; INFORMATION CENTER</t>
  </si>
  <si>
    <t>CUMBERLAND</t>
  </si>
  <si>
    <t>Joellen Risacher</t>
  </si>
  <si>
    <t>(910) 483-7727</t>
  </si>
  <si>
    <t>(910) 486-5372</t>
  </si>
  <si>
    <t>jrisacher@cumberland.lib.nc.us</t>
  </si>
  <si>
    <t>Cotina Jones</t>
  </si>
  <si>
    <t>Deputy Director</t>
  </si>
  <si>
    <t>cjones@cumberland.lib.nc.us</t>
  </si>
  <si>
    <t>www.cumberland.lib.nc.us</t>
  </si>
  <si>
    <t>C-CUMBERLAND-HQ</t>
  </si>
  <si>
    <t>NC0027</t>
  </si>
  <si>
    <t>C-DAVIDSON</t>
  </si>
  <si>
    <t>602 S MAIN ST</t>
  </si>
  <si>
    <t>LEXINGTON</t>
  </si>
  <si>
    <t>DAVIDSON COUNTY PUBLIC LIBRARY SYSTEM</t>
  </si>
  <si>
    <t>DAVIDSON</t>
  </si>
  <si>
    <t>Ruth Ann Copley</t>
  </si>
  <si>
    <t>(336) 242-2064</t>
  </si>
  <si>
    <t>(336) 249-8161</t>
  </si>
  <si>
    <t>ruth.copley@davidsoncountync.gov</t>
  </si>
  <si>
    <t>Gail Marsh</t>
  </si>
  <si>
    <t>Admin. Asst./Tech Support</t>
  </si>
  <si>
    <t>(336) 242-2942</t>
  </si>
  <si>
    <t>gail.marsh@davidsoncountync.gov</t>
  </si>
  <si>
    <t>www.co.davidson.nc.us/library</t>
  </si>
  <si>
    <t>LEXINGTON PUBLIC LIBRARY</t>
  </si>
  <si>
    <t>C-DAVIDSON-D</t>
  </si>
  <si>
    <t>NC0028</t>
  </si>
  <si>
    <t>C-DAVIE</t>
  </si>
  <si>
    <t>371 N MAIN ST</t>
  </si>
  <si>
    <t>MOCKSVILLE</t>
  </si>
  <si>
    <t>DAVIE COUNTY PUBLIC LIBRARY</t>
  </si>
  <si>
    <t>DAVIE</t>
  </si>
  <si>
    <t>Jane S. McAllister</t>
  </si>
  <si>
    <t>(336) 753-6034</t>
  </si>
  <si>
    <t>(336) 751-1370</t>
  </si>
  <si>
    <t>jmcallister@daviecountync.gov</t>
  </si>
  <si>
    <t>Jane McAllister</t>
  </si>
  <si>
    <t>www.library.daviecounty.org/</t>
  </si>
  <si>
    <t>C-DAVIE-D</t>
  </si>
  <si>
    <t>NC0029</t>
  </si>
  <si>
    <t>C-DUPLIN</t>
  </si>
  <si>
    <t>PO BOX 930</t>
  </si>
  <si>
    <t>KENANSVILLE</t>
  </si>
  <si>
    <t>107 BOWDEN DR</t>
  </si>
  <si>
    <t>DUPLIN COUNTY LIBRARY</t>
  </si>
  <si>
    <t>DUPLIN</t>
  </si>
  <si>
    <t>Shannon Sutton - Interim</t>
  </si>
  <si>
    <t>(910) 296-2117</t>
  </si>
  <si>
    <t>(910) 296-2172</t>
  </si>
  <si>
    <t>shannon.sutton@duplincountync.com</t>
  </si>
  <si>
    <t>Shannon Sutton</t>
  </si>
  <si>
    <t>Interim Library Director</t>
  </si>
  <si>
    <t>www.youseemore.com/duplin</t>
  </si>
  <si>
    <t>DUPLIN COUNTY - DOROTHY WIGHTMAN LIBRARY</t>
  </si>
  <si>
    <t>C-DUPLIN-D</t>
  </si>
  <si>
    <t>NC0030</t>
  </si>
  <si>
    <t>C-DURHAM</t>
  </si>
  <si>
    <t>101 East Morgan Street</t>
  </si>
  <si>
    <t>DURHAM</t>
  </si>
  <si>
    <t>DURHAM COUNTY LIBRARY</t>
  </si>
  <si>
    <t>Tammy Baggett</t>
  </si>
  <si>
    <t>(919) 560-0164</t>
  </si>
  <si>
    <t>(919) 560-0137</t>
  </si>
  <si>
    <t>tbaggett@dconc.gov</t>
  </si>
  <si>
    <t>Katherine Makens</t>
  </si>
  <si>
    <t>Resources and Finance Officer</t>
  </si>
  <si>
    <t>(919) 560-0187</t>
  </si>
  <si>
    <t>(919) 560-0126</t>
  </si>
  <si>
    <t>kmakens@dconc.gov</t>
  </si>
  <si>
    <t>durhamcountylibrary.org</t>
  </si>
  <si>
    <t>PO BOX 3809</t>
  </si>
  <si>
    <t>300 N ROXBORO ST</t>
  </si>
  <si>
    <t>C-DURHAM-D</t>
  </si>
  <si>
    <t>NC0007</t>
  </si>
  <si>
    <t>R-EAST ALBEMARLE</t>
  </si>
  <si>
    <t>100 E COLONIAL AVE</t>
  </si>
  <si>
    <t>ELIZABETH CITY</t>
  </si>
  <si>
    <t>EAST ALBEMARLE REGIONAL LIBRARY</t>
  </si>
  <si>
    <t>PASQUOTANK</t>
  </si>
  <si>
    <t>Jonathan Wark</t>
  </si>
  <si>
    <t>(252) 335-2511</t>
  </si>
  <si>
    <t>(252) 335-2386</t>
  </si>
  <si>
    <t>jwark@earlibrary.org</t>
  </si>
  <si>
    <t>(252) 473-2372</t>
  </si>
  <si>
    <t>(252) 473-6034</t>
  </si>
  <si>
    <t>www.earlibrary.org</t>
  </si>
  <si>
    <t>PASQUOTANK COUNTY LIBRARY</t>
  </si>
  <si>
    <t>R-EASTALBEMARLE-P</t>
  </si>
  <si>
    <t>NC0031</t>
  </si>
  <si>
    <t>C-EDGECOMBE</t>
  </si>
  <si>
    <t>909 MAIN ST</t>
  </si>
  <si>
    <t>TARBORO</t>
  </si>
  <si>
    <t>EDGECOMBE COUNTY MEMORIAL LIBRARY</t>
  </si>
  <si>
    <t>EDGECOMBE</t>
  </si>
  <si>
    <t>Roman Leary</t>
  </si>
  <si>
    <t>(252) 823-1141</t>
  </si>
  <si>
    <t>(252) 823-7699</t>
  </si>
  <si>
    <t>rleary@edgecombelibrary.org</t>
  </si>
  <si>
    <t>Mary S. Howard</t>
  </si>
  <si>
    <t>showard@edgecombelibrary.org</t>
  </si>
  <si>
    <t>www.edgecombelibrary.org</t>
  </si>
  <si>
    <t>C-EDGECOMBE-E</t>
  </si>
  <si>
    <t>NC0075</t>
  </si>
  <si>
    <t>M-FARMVILLE</t>
  </si>
  <si>
    <t>4276 W CHURCH ST</t>
  </si>
  <si>
    <t>FARMVILLE</t>
  </si>
  <si>
    <t>FARMVILLE PUBLIC LIBRARY</t>
  </si>
  <si>
    <t>PITT</t>
  </si>
  <si>
    <t>David Miller</t>
  </si>
  <si>
    <t>(252) 753-6713</t>
  </si>
  <si>
    <t>dmiller@farmvillenc.gov</t>
  </si>
  <si>
    <t>www.farmvillelibrary.org</t>
  </si>
  <si>
    <t>M-FARMVILLE-F</t>
  </si>
  <si>
    <t>NC0008</t>
  </si>
  <si>
    <t>R-FONTANA</t>
  </si>
  <si>
    <t>33 FRYEMONT ST</t>
  </si>
  <si>
    <t>BRYSON CITY</t>
  </si>
  <si>
    <t>FONTANA REGIONAL LIBRARY</t>
  </si>
  <si>
    <t>SWAIN</t>
  </si>
  <si>
    <t>Karen Wallace</t>
  </si>
  <si>
    <t>(828) 524-3600</t>
  </si>
  <si>
    <t>(828) 488-2638</t>
  </si>
  <si>
    <t>kwallace@fontanalib.org</t>
  </si>
  <si>
    <t>Deb Lawley</t>
  </si>
  <si>
    <t>Finance Officer</t>
  </si>
  <si>
    <t>(828) 488-2382</t>
  </si>
  <si>
    <t>dlawley@fontanalib.org</t>
  </si>
  <si>
    <t>www.fontanalib.org</t>
  </si>
  <si>
    <t>ALBERT CARLTON-CASHIERS COMMUNITY LIBRARY</t>
  </si>
  <si>
    <t>P.O. BOX 2127</t>
  </si>
  <si>
    <t>CASHIERS</t>
  </si>
  <si>
    <t>249 FRANK ALLEN RD</t>
  </si>
  <si>
    <t>JACKSON</t>
  </si>
  <si>
    <t>R-FONTANA-CASHIERS</t>
  </si>
  <si>
    <t>NC0032</t>
  </si>
  <si>
    <t>C-FORSYTH</t>
  </si>
  <si>
    <t>201 N. Chestnut St. 5th Flr.</t>
  </si>
  <si>
    <t>WINSTON-SALEM</t>
  </si>
  <si>
    <t>660 W 5TH ST</t>
  </si>
  <si>
    <t>FORSYTH COUNTY PUBLIC LIBRARY</t>
  </si>
  <si>
    <t>FORSYTH</t>
  </si>
  <si>
    <t>Sylvia Sprinkle-Hamlin</t>
  </si>
  <si>
    <t>(336) 703-3016</t>
  </si>
  <si>
    <t>(336) 727-2549</t>
  </si>
  <si>
    <t>hamlinss@forsythlibrary.org</t>
  </si>
  <si>
    <t>hamlinss@forsyth.cc</t>
  </si>
  <si>
    <t>www.forsythlibrary.org</t>
  </si>
  <si>
    <t>C-FORSYTH-F</t>
  </si>
  <si>
    <t>NC0033</t>
  </si>
  <si>
    <t>C-FRANKLIN</t>
  </si>
  <si>
    <t>906 N MAIN ST</t>
  </si>
  <si>
    <t>LOUISBURG</t>
  </si>
  <si>
    <t>FRANKLIN COUNTY LIBRARY</t>
  </si>
  <si>
    <t>FRANKLIN</t>
  </si>
  <si>
    <t>Holt Kornegay</t>
  </si>
  <si>
    <t>(919) 496-2111</t>
  </si>
  <si>
    <t>(919) 496-1339</t>
  </si>
  <si>
    <t>hkornegay@franklincountync.us</t>
  </si>
  <si>
    <t>Wayne Hunt</t>
  </si>
  <si>
    <t>Administrative Support Specialist</t>
  </si>
  <si>
    <t>whunt@franklincountync.us</t>
  </si>
  <si>
    <t>www.franklincountync.us/services/library</t>
  </si>
  <si>
    <t>C-FRANKLIN-F</t>
  </si>
  <si>
    <t>NC0105</t>
  </si>
  <si>
    <t>C-GASTON</t>
  </si>
  <si>
    <t>1555 East Garrison Boulevard</t>
  </si>
  <si>
    <t>GASTONIA</t>
  </si>
  <si>
    <t>Gastonia</t>
  </si>
  <si>
    <t>GASTON COUNTY PUBLIC LIBRARY</t>
  </si>
  <si>
    <t>GASTON</t>
  </si>
  <si>
    <t>Laurel R. Morris</t>
  </si>
  <si>
    <t>(704) 868-2164</t>
  </si>
  <si>
    <t>(704) 853-6012</t>
  </si>
  <si>
    <t>laurel.morris@gastongov.com</t>
  </si>
  <si>
    <t>www.gastonlibrary.org</t>
  </si>
  <si>
    <t>GASTON COUNTY PUBLIC LIBRARY (REGIONAL HEADQUARTERS)</t>
  </si>
  <si>
    <t>1555 E. GARRISON BLVD</t>
  </si>
  <si>
    <t>1555 E GARRISON BLVD</t>
  </si>
  <si>
    <t>Gaston</t>
  </si>
  <si>
    <t>C-GASTON-G</t>
  </si>
  <si>
    <t>NC0099</t>
  </si>
  <si>
    <t>M-WASHINGTON</t>
  </si>
  <si>
    <t>122 VAN NORDEN ST</t>
  </si>
  <si>
    <t>GEORGE H. AND LAURA E. BROWN PUBLIC LIBRARY</t>
  </si>
  <si>
    <t>Sandra Silvey</t>
  </si>
  <si>
    <t>(252) 975-9356</t>
  </si>
  <si>
    <t>ssilvey@washingtonnc.gov</t>
  </si>
  <si>
    <t>www.washington-nc.libguides.com</t>
  </si>
  <si>
    <t>M-WASHINGTON-W</t>
  </si>
  <si>
    <t>NC0034</t>
  </si>
  <si>
    <t>C-GRANVILLE</t>
  </si>
  <si>
    <t>PO BOX 339</t>
  </si>
  <si>
    <t>OXFORD</t>
  </si>
  <si>
    <t>210 MAIN ST</t>
  </si>
  <si>
    <t>GRANVILLE COUNTY LIBRARY SYSTEM</t>
  </si>
  <si>
    <t>GRANVILLE</t>
  </si>
  <si>
    <t>Jonathan Bradsher</t>
  </si>
  <si>
    <t>(919) 693-1121</t>
  </si>
  <si>
    <t>(919) 693-2244</t>
  </si>
  <si>
    <t>Jonathan.bradsher@granvillecounty.org</t>
  </si>
  <si>
    <t>www.granville.lib.nc.us</t>
  </si>
  <si>
    <t>RICHARD H. THORNTON LIBRARY</t>
  </si>
  <si>
    <t>C-GRANVILLE-T</t>
  </si>
  <si>
    <t>NC0035</t>
  </si>
  <si>
    <t>C-GUILFORD</t>
  </si>
  <si>
    <t>PO BOX 3178</t>
  </si>
  <si>
    <t>GREENSBORO</t>
  </si>
  <si>
    <t>219 N CHURCH ST</t>
  </si>
  <si>
    <t>GREENSBORO PUBLIC LIBRARY</t>
  </si>
  <si>
    <t>GUILFORD</t>
  </si>
  <si>
    <t>Brigitte H. Blanton</t>
  </si>
  <si>
    <t>(336) 373-2716</t>
  </si>
  <si>
    <t>(336) 333-6781</t>
  </si>
  <si>
    <t>brigitte.blanton@greensboro-nc.gov</t>
  </si>
  <si>
    <t>Dena Keesee</t>
  </si>
  <si>
    <t>Spec Administrative Support</t>
  </si>
  <si>
    <t>(336) 373-2698</t>
  </si>
  <si>
    <t>dena.keesee@greensboro-nc.gov</t>
  </si>
  <si>
    <t>www.greensborolibrary.org</t>
  </si>
  <si>
    <t>C-GUILFORD-CE</t>
  </si>
  <si>
    <t>NC0036</t>
  </si>
  <si>
    <t>C-HALIFAX</t>
  </si>
  <si>
    <t>PO BOX 97</t>
  </si>
  <si>
    <t>HALIFAX</t>
  </si>
  <si>
    <t>33 GRANVILLE ST</t>
  </si>
  <si>
    <t>HALIFAX COUNTY LIBRARY SYSTEM</t>
  </si>
  <si>
    <t>Virginia Orvedahl</t>
  </si>
  <si>
    <t>(252) 583-3631</t>
  </si>
  <si>
    <t>(252) 583-8661</t>
  </si>
  <si>
    <t>orvedahlg@halifaxnc.com</t>
  </si>
  <si>
    <t>Ginny Orvedahl</t>
  </si>
  <si>
    <t>www.halifaxnc.libguides.com/hcl</t>
  </si>
  <si>
    <t>HALIFAX COUNTY LIBRARY</t>
  </si>
  <si>
    <t>C-HALIFAX-H</t>
  </si>
  <si>
    <t>NC0037</t>
  </si>
  <si>
    <t>C-HARNETT</t>
  </si>
  <si>
    <t>PO BOX 1149</t>
  </si>
  <si>
    <t>LILLINGTON</t>
  </si>
  <si>
    <t>601 S MAIN ST</t>
  </si>
  <si>
    <t>HARNETT COUNTY PUBLIC LIBRARY</t>
  </si>
  <si>
    <t>HARNETT</t>
  </si>
  <si>
    <t>Angela McCauley</t>
  </si>
  <si>
    <t>(910) 893-3446</t>
  </si>
  <si>
    <t>(910) 893-3001</t>
  </si>
  <si>
    <t>amccauley@harnett.org</t>
  </si>
  <si>
    <t>www.harnett.org/library</t>
  </si>
  <si>
    <t>C-HARNETT-H</t>
  </si>
  <si>
    <t>NC0102</t>
  </si>
  <si>
    <t>M-NASHVILLE</t>
  </si>
  <si>
    <t>114 W CHURCH ST</t>
  </si>
  <si>
    <t>NASHVILLE</t>
  </si>
  <si>
    <t>HAROLD D. COOLEY LIBRARY</t>
  </si>
  <si>
    <t>Emily Enderle</t>
  </si>
  <si>
    <t>(252) 459-2106</t>
  </si>
  <si>
    <t>(252) 459-8926</t>
  </si>
  <si>
    <t>emily.enderle@townofnashvillenc.gov</t>
  </si>
  <si>
    <t>www.youseemore.com/cooleylibrary/default.asp</t>
  </si>
  <si>
    <t>M-NASHVILLE-C</t>
  </si>
  <si>
    <t>NC0038</t>
  </si>
  <si>
    <t>C-HAYWOOD</t>
  </si>
  <si>
    <t>678 S HAYWOOD ST</t>
  </si>
  <si>
    <t>WAYNESVILLE</t>
  </si>
  <si>
    <t>HAYWOOD COUNTY PUBLIC LIBRARY</t>
  </si>
  <si>
    <t>HAYWOOD</t>
  </si>
  <si>
    <t>Sharon Woodrow</t>
  </si>
  <si>
    <t>(828) 356-2504</t>
  </si>
  <si>
    <t>(828) 452-6746</t>
  </si>
  <si>
    <t>swoodrow@haywoodnc.net</t>
  </si>
  <si>
    <t>www.haywoodlibrary.org</t>
  </si>
  <si>
    <t>C-HAYWOOD-H</t>
  </si>
  <si>
    <t>NC0039</t>
  </si>
  <si>
    <t>C-HENDERSON</t>
  </si>
  <si>
    <t>301 N WASHINGTON ST</t>
  </si>
  <si>
    <t>HENDERSONVILLE</t>
  </si>
  <si>
    <t>HENDERSON COUNTY PUBLIC LIBRARY</t>
  </si>
  <si>
    <t>HENDERSON</t>
  </si>
  <si>
    <t>Trina Rushing</t>
  </si>
  <si>
    <t>(828) 697-4725</t>
  </si>
  <si>
    <t>(828) 692-8449</t>
  </si>
  <si>
    <t>trushing@henderson.lib.nc.us</t>
  </si>
  <si>
    <t>trushing@hendersoncountync.org</t>
  </si>
  <si>
    <t>www.henderson.lib.nc.us</t>
  </si>
  <si>
    <t>C-HENDERSON-H</t>
  </si>
  <si>
    <t>NC0079</t>
  </si>
  <si>
    <t>M-HICKORY</t>
  </si>
  <si>
    <t>375 3RD ST NE</t>
  </si>
  <si>
    <t>HICKORY</t>
  </si>
  <si>
    <t>HICKORY PUBLIC LIBRARY</t>
  </si>
  <si>
    <t>Sarah Greene</t>
  </si>
  <si>
    <t>(828) 261-2275</t>
  </si>
  <si>
    <t>(828) 304-0023</t>
  </si>
  <si>
    <t>sgreene@hickorync.gov</t>
  </si>
  <si>
    <t>Viveca Huffman</t>
  </si>
  <si>
    <t>Administrative Assistant/Budget Manager</t>
  </si>
  <si>
    <t>(828) 261-2276</t>
  </si>
  <si>
    <t>vhuffman@hickorync.gov</t>
  </si>
  <si>
    <t>www.hickorync.gov/library</t>
  </si>
  <si>
    <t>PATRICK BEAVER MEMORIAL LIBRARY</t>
  </si>
  <si>
    <t>M-HICKORY-E</t>
  </si>
  <si>
    <t>NC0080</t>
  </si>
  <si>
    <t>M-HIGH POINT</t>
  </si>
  <si>
    <t>PO BOX 2530</t>
  </si>
  <si>
    <t>HIGH POINT</t>
  </si>
  <si>
    <t>901 N MAIN ST</t>
  </si>
  <si>
    <t>HIGH POINT PUBLIC LIBRARY</t>
  </si>
  <si>
    <t>Mary M. Sizemore</t>
  </si>
  <si>
    <t>(336) 883-3694</t>
  </si>
  <si>
    <t>(336) 883-3636</t>
  </si>
  <si>
    <t>mary.sizemore@highpointnc.gov</t>
  </si>
  <si>
    <t>Lorrie Russell</t>
  </si>
  <si>
    <t>(336) 883-3644</t>
  </si>
  <si>
    <t>lorrie.russell@highpointnc.gov</t>
  </si>
  <si>
    <t>www.highpointpubliclibrary.com</t>
  </si>
  <si>
    <t>M-HIGHPOINT-H</t>
  </si>
  <si>
    <t>NC0110</t>
  </si>
  <si>
    <t>100 S CHURCH ST</t>
  </si>
  <si>
    <t>CLAYTON</t>
  </si>
  <si>
    <t>HOCUTT ELLINGTON MEMORIAL LIBRARY</t>
  </si>
  <si>
    <t>Johnston</t>
  </si>
  <si>
    <t>Christie Starnes</t>
  </si>
  <si>
    <t>(919) 359-9366</t>
  </si>
  <si>
    <t>clstarnes@townofclaytonnc.org</t>
  </si>
  <si>
    <t>Joy Garretson</t>
  </si>
  <si>
    <t>Library Director (9/6/17)</t>
  </si>
  <si>
    <t>(919) 553-5542</t>
  </si>
  <si>
    <t>jgarretson@townofclaytonnc.org</t>
  </si>
  <si>
    <t>claytonlibrarync.org</t>
  </si>
  <si>
    <t>100 S CHURCH STREET</t>
  </si>
  <si>
    <t>JOHNSTON</t>
  </si>
  <si>
    <t>C-JOHNSTON-H</t>
  </si>
  <si>
    <t>NC0040</t>
  </si>
  <si>
    <t>C-IREDELL</t>
  </si>
  <si>
    <t>PO BOX 1810</t>
  </si>
  <si>
    <t>STATESVILLE</t>
  </si>
  <si>
    <t>201 N TRADD ST</t>
  </si>
  <si>
    <t>IREDELL COUNTY LIBRARY</t>
  </si>
  <si>
    <t>IREDELL</t>
  </si>
  <si>
    <t>Steve Messick</t>
  </si>
  <si>
    <t>(704) 878-3092</t>
  </si>
  <si>
    <t>(704) 878-5449</t>
  </si>
  <si>
    <t>smessick@iredell.lib.nc.us</t>
  </si>
  <si>
    <t>www.iredell.lib.nc.us</t>
  </si>
  <si>
    <t>C-IREDELL-I</t>
  </si>
  <si>
    <t>NC0100</t>
  </si>
  <si>
    <t>M-KINGS MOUNTAIN</t>
  </si>
  <si>
    <t>100 S PIEDMONT AVE</t>
  </si>
  <si>
    <t>KINGS MOUNTAIN</t>
  </si>
  <si>
    <t>JACOB MAUNEY MEMORIAL LIBRARY</t>
  </si>
  <si>
    <t>Sharon Stack</t>
  </si>
  <si>
    <t>(704) 739-2371</t>
  </si>
  <si>
    <t>(704) 734-4499</t>
  </si>
  <si>
    <t>sstack@mauneylibrary.org</t>
  </si>
  <si>
    <t>mauneylibrary.org</t>
  </si>
  <si>
    <t>M-KINGSMOUNTAIN-M</t>
  </si>
  <si>
    <t>NC0042</t>
  </si>
  <si>
    <t>C-LEE</t>
  </si>
  <si>
    <t>107 HAWKINS AVE</t>
  </si>
  <si>
    <t>SANFORD</t>
  </si>
  <si>
    <t>LEE COUNTY LIBRARY</t>
  </si>
  <si>
    <t>LEE</t>
  </si>
  <si>
    <t>Beth List</t>
  </si>
  <si>
    <t>(919) 718-4665</t>
  </si>
  <si>
    <t>(919) 775-1832</t>
  </si>
  <si>
    <t>blist@leecountync.gov</t>
  </si>
  <si>
    <t>www.leecountync.gov/library</t>
  </si>
  <si>
    <t>LEE COUNTY LIBRARY SYSTEM</t>
  </si>
  <si>
    <t>C-LEE-L</t>
  </si>
  <si>
    <t>NC0106</t>
  </si>
  <si>
    <t>C-LINCOLN</t>
  </si>
  <si>
    <t>CC</t>
  </si>
  <si>
    <t>306 W MAIN ST</t>
  </si>
  <si>
    <t>LINCOLNTON</t>
  </si>
  <si>
    <t>LINCOLN COUNTY PUBLIC LIBRARY</t>
  </si>
  <si>
    <t>LINCOLN</t>
  </si>
  <si>
    <t>Jennifer Sackett</t>
  </si>
  <si>
    <t>(704) 735-8044</t>
  </si>
  <si>
    <t>(704) 732-9042</t>
  </si>
  <si>
    <t>jsackett@lincolncounty.org</t>
  </si>
  <si>
    <t>Stephanie Green</t>
  </si>
  <si>
    <t>Library Administrative Assistant</t>
  </si>
  <si>
    <t>(704) 732-0548</t>
  </si>
  <si>
    <t>sgreen@lincolncounty.org</t>
  </si>
  <si>
    <t>www.mylincolnlibrary.org</t>
  </si>
  <si>
    <t>CHARLES R. JONAS LIBRARY</t>
  </si>
  <si>
    <t>C-LINCOLN-C</t>
  </si>
  <si>
    <t>NC0043</t>
  </si>
  <si>
    <t>C-MADISON</t>
  </si>
  <si>
    <t>1335 N MAIN ST</t>
  </si>
  <si>
    <t>MARSHALL</t>
  </si>
  <si>
    <t>MADISON COUNTY PUBLIC LIBRARY</t>
  </si>
  <si>
    <t>MADISON</t>
  </si>
  <si>
    <t>Melanie U. Morgan</t>
  </si>
  <si>
    <t>(828) 649-3741</t>
  </si>
  <si>
    <t>(828) 649-3504</t>
  </si>
  <si>
    <t>mmorgan@madisoncountync.gov</t>
  </si>
  <si>
    <t>Melanie U Morgan</t>
  </si>
  <si>
    <t>(828) 689-5183</t>
  </si>
  <si>
    <t>www.madisoncountylibrary.net</t>
  </si>
  <si>
    <t>C-MADISON-M</t>
  </si>
  <si>
    <t>NC0044</t>
  </si>
  <si>
    <t>C-MCDOWELL</t>
  </si>
  <si>
    <t>90 W COURT ST</t>
  </si>
  <si>
    <t>MARION</t>
  </si>
  <si>
    <t>MCDOWELL COUNTY PUBLIC LIBRARY</t>
  </si>
  <si>
    <t>MCDOWELL</t>
  </si>
  <si>
    <t>Marlan Brinkley</t>
  </si>
  <si>
    <t>(828) 652-3858</t>
  </si>
  <si>
    <t>(828) 652-2098</t>
  </si>
  <si>
    <t>mbrinkley@mcdowellpubliclibrary.org</t>
  </si>
  <si>
    <t>www.mcdowellpubliclibrary.org</t>
  </si>
  <si>
    <t>C-MCDOWELL-M</t>
  </si>
  <si>
    <t>NC0083</t>
  </si>
  <si>
    <t>M-MOORESVILLE</t>
  </si>
  <si>
    <t>304 S MAIN ST</t>
  </si>
  <si>
    <t>MOORESVILLE</t>
  </si>
  <si>
    <t>MOORESVILLE PUBLIC LIBRARY</t>
  </si>
  <si>
    <t>Marian Lytle</t>
  </si>
  <si>
    <t>(704) 660-3272</t>
  </si>
  <si>
    <t>(704) 660-3292</t>
  </si>
  <si>
    <t>mlytle@ci.mooresville.nc.us</t>
  </si>
  <si>
    <t>Chao Huang</t>
  </si>
  <si>
    <t>Digital Services Librarian</t>
  </si>
  <si>
    <t>(704) 799-4203</t>
  </si>
  <si>
    <t>(704) 663-2459</t>
  </si>
  <si>
    <t>chuang@ci.mooresville.nc.us</t>
  </si>
  <si>
    <t>www.mooresvillelibrary.org</t>
  </si>
  <si>
    <t>M-MOORESVILLE-M</t>
  </si>
  <si>
    <t>NC0011</t>
  </si>
  <si>
    <t>R-NANTAHALA</t>
  </si>
  <si>
    <t>11 BLUMENTHAL ST</t>
  </si>
  <si>
    <t>MURPHY</t>
  </si>
  <si>
    <t>NANTAHALA REGIONAL LIBRARY</t>
  </si>
  <si>
    <t>CHEROKEE</t>
  </si>
  <si>
    <t>Daphne Simmons</t>
  </si>
  <si>
    <t>(828) 837-2025</t>
  </si>
  <si>
    <t>(828) 837-6416</t>
  </si>
  <si>
    <t>dchildres@nantahalalibrary.org</t>
  </si>
  <si>
    <t>Nantahala Regional Library Director</t>
  </si>
  <si>
    <t>www.nantahalalibrary.org</t>
  </si>
  <si>
    <t>ANDREWS PUBLIC LIBRARY</t>
  </si>
  <si>
    <t>PO DRAWER 700</t>
  </si>
  <si>
    <t>ANDREWS</t>
  </si>
  <si>
    <t>871 MAIN ST</t>
  </si>
  <si>
    <t>R-NANTAHALA-C</t>
  </si>
  <si>
    <t>NC0012</t>
  </si>
  <si>
    <t>R-NEUSE</t>
  </si>
  <si>
    <t>510 N QUEEN ST</t>
  </si>
  <si>
    <t>KINSTON</t>
  </si>
  <si>
    <t>NEUSE REGIONAL LIBRARY</t>
  </si>
  <si>
    <t>Agnes W. Ho</t>
  </si>
  <si>
    <t>(252) 527-7066</t>
  </si>
  <si>
    <t>(252) 527-8220</t>
  </si>
  <si>
    <t>aho@neuselibrary.org</t>
  </si>
  <si>
    <t>Stephanie Brown</t>
  </si>
  <si>
    <t>sbrown@neuselibrary.org</t>
  </si>
  <si>
    <t>www.neuselibrary.org</t>
  </si>
  <si>
    <t>KINSTON-LENOIR COUNTY PUBLIC LIBRARY</t>
  </si>
  <si>
    <t>R-NEUSE-K</t>
  </si>
  <si>
    <t>NC0047</t>
  </si>
  <si>
    <t>C-NEW HANOVER</t>
  </si>
  <si>
    <t>201 CHESTNUT ST</t>
  </si>
  <si>
    <t>WILMINGTON</t>
  </si>
  <si>
    <t>NEW HANOVER COUNTY PUBLIC LIBRARY</t>
  </si>
  <si>
    <t>NEW HANOVER</t>
  </si>
  <si>
    <t>HARRY TUCHMAYER</t>
  </si>
  <si>
    <t>(910) 798-6321</t>
  </si>
  <si>
    <t>(910) 798-6312</t>
  </si>
  <si>
    <t>HTUCHMAYER@NHCGOV.COM</t>
  </si>
  <si>
    <t>YVETTE MAYS</t>
  </si>
  <si>
    <t>ADMIN SUPPORT SPECIALIST</t>
  </si>
  <si>
    <t>(910) 798-6309</t>
  </si>
  <si>
    <t>YMAYS@NHCGOV.COM</t>
  </si>
  <si>
    <t>WWW.NHCLIBRARY.ORG</t>
  </si>
  <si>
    <t>C-NEWHANOVER-N</t>
  </si>
  <si>
    <t>NC0013</t>
  </si>
  <si>
    <t>R-NORTHWESTERN</t>
  </si>
  <si>
    <t>111 N FRONT ST</t>
  </si>
  <si>
    <t>ELKIN</t>
  </si>
  <si>
    <t>NORTHWESTERN REGIONAL LIBRARY</t>
  </si>
  <si>
    <t>SURRY</t>
  </si>
  <si>
    <t>Joan Sherif</t>
  </si>
  <si>
    <t>(336) 835-4894</t>
  </si>
  <si>
    <t>(336) 835-1356</t>
  </si>
  <si>
    <t>jsherif@nwrl.org</t>
  </si>
  <si>
    <t>www.nwrl.org</t>
  </si>
  <si>
    <t>ALLEGHANY COUNTY PUBLIC LIBRARY</t>
  </si>
  <si>
    <t>PO BOX 656</t>
  </si>
  <si>
    <t>SPARTA</t>
  </si>
  <si>
    <t>122 N MAIN ST</t>
  </si>
  <si>
    <t>ALLEGHANY</t>
  </si>
  <si>
    <t>R-NORTHWESTERN-A</t>
  </si>
  <si>
    <t>NC0048</t>
  </si>
  <si>
    <t>C-ONSLOW</t>
  </si>
  <si>
    <t>58 DORIS AVENUE E</t>
  </si>
  <si>
    <t>JACKSONVILLE</t>
  </si>
  <si>
    <t>ONSLOW COUNTY PUBLIC LIBRARY</t>
  </si>
  <si>
    <t>ONSLOW</t>
  </si>
  <si>
    <t>Virginia Sharp March</t>
  </si>
  <si>
    <t>(910) 455-7350</t>
  </si>
  <si>
    <t>(910) 989-5790</t>
  </si>
  <si>
    <t>virginia_march@onslowcountync.gov</t>
  </si>
  <si>
    <t>www.onslowcountync.gov/library</t>
  </si>
  <si>
    <t>C-ONSLOW-O</t>
  </si>
  <si>
    <t>NC0108</t>
  </si>
  <si>
    <t>C-ORANGE</t>
  </si>
  <si>
    <t>137 W MARGARET LN</t>
  </si>
  <si>
    <t>HILLSBOROUGH</t>
  </si>
  <si>
    <t>ORANGE COUNTY PUBLIC LIBRARY</t>
  </si>
  <si>
    <t>Lucinda Munger</t>
  </si>
  <si>
    <t>(919) 245-2528</t>
  </si>
  <si>
    <t>(919) 644-3372</t>
  </si>
  <si>
    <t>lmunger@orangecountync.gov</t>
  </si>
  <si>
    <t>Andrea Tullos</t>
  </si>
  <si>
    <t>Assistant Library Director</t>
  </si>
  <si>
    <t>(919) 245-2529</t>
  </si>
  <si>
    <t>atullos@orangecountync.gov</t>
  </si>
  <si>
    <t>http://www.orangecountync.gov/departments/library/index.php</t>
  </si>
  <si>
    <t>Hillsborough</t>
  </si>
  <si>
    <t>Orange</t>
  </si>
  <si>
    <t>C-ORANGE-O</t>
  </si>
  <si>
    <t>NC0049</t>
  </si>
  <si>
    <t>C-PENDER</t>
  </si>
  <si>
    <t>PO BOX 879</t>
  </si>
  <si>
    <t>BURGAW</t>
  </si>
  <si>
    <t>103 S COWAN ST</t>
  </si>
  <si>
    <t>PENDER COUNTY PUBLIC LIBRARY</t>
  </si>
  <si>
    <t>PENDER</t>
  </si>
  <si>
    <t>Michael Y Taylor</t>
  </si>
  <si>
    <t>(910) 259-5113</t>
  </si>
  <si>
    <t>mtaylor@pendercountync.gov</t>
  </si>
  <si>
    <t>Mike Taylor</t>
  </si>
  <si>
    <t>penderpubliclibrary.org</t>
  </si>
  <si>
    <t>C-PENDER-P</t>
  </si>
  <si>
    <t>NC0062</t>
  </si>
  <si>
    <t>C-VANCE</t>
  </si>
  <si>
    <t>NP</t>
  </si>
  <si>
    <t>205 BRECKENRIDGE ST</t>
  </si>
  <si>
    <t>H. LESLIE PERRY MEMORIAL LIBRARY</t>
  </si>
  <si>
    <t>VANCE</t>
  </si>
  <si>
    <t>Patti McAnally</t>
  </si>
  <si>
    <t>(252) 438-3744</t>
  </si>
  <si>
    <t>pmcanally@perrylibrary.org</t>
  </si>
  <si>
    <t>(252) 438-3316</t>
  </si>
  <si>
    <t>www.perrylibrary.org</t>
  </si>
  <si>
    <t>PERRY MEMORIAL LIBRARY</t>
  </si>
  <si>
    <t>C-VANCE-H</t>
  </si>
  <si>
    <t>NC0109</t>
  </si>
  <si>
    <t>C-PERSON</t>
  </si>
  <si>
    <t>319 S MAIN ST</t>
  </si>
  <si>
    <t>ROXBORO</t>
  </si>
  <si>
    <t>PERSON COUNTY PUBLIC LIBRARY</t>
  </si>
  <si>
    <t>PERSON</t>
  </si>
  <si>
    <t>Christy M Bondy</t>
  </si>
  <si>
    <t>(336) 597-7881</t>
  </si>
  <si>
    <t>(336) 597-5081</t>
  </si>
  <si>
    <t>cbondy@personcounty.net</t>
  </si>
  <si>
    <t>Christy Bondy</t>
  </si>
  <si>
    <t>www.personcounty.net/index.aspx?page=176</t>
  </si>
  <si>
    <t>319 S. MAIN STREET</t>
  </si>
  <si>
    <t>C-PERSON-P</t>
  </si>
  <si>
    <t>NC0014</t>
  </si>
  <si>
    <t>R-PETTIGREW</t>
  </si>
  <si>
    <t>201 E THIRD ST</t>
  </si>
  <si>
    <t>PLYMOUTH</t>
  </si>
  <si>
    <t>PETTIGREW REGIONAL LIBRARY</t>
  </si>
  <si>
    <t>CHOWAN, PERQUIMANS,</t>
  </si>
  <si>
    <t>Judi Bugniazet</t>
  </si>
  <si>
    <t>(252) 793-2875</t>
  </si>
  <si>
    <t>(252) 793-2818</t>
  </si>
  <si>
    <t>jbugniazet@pettigrewlibraries.org</t>
  </si>
  <si>
    <t>www.pettigrewlibraries.org</t>
  </si>
  <si>
    <t>PERQUIMANS COUNTY LIBRARY</t>
  </si>
  <si>
    <t>110 W ACADEMY ST</t>
  </si>
  <si>
    <t>PERQUIMANS</t>
  </si>
  <si>
    <t>R-PETTIGREW-P</t>
  </si>
  <si>
    <t>NC0051</t>
  </si>
  <si>
    <t>C-POLK</t>
  </si>
  <si>
    <t>1289 W MILLS ST</t>
  </si>
  <si>
    <t>POLK COUNTY PUBLIC LIBRARY</t>
  </si>
  <si>
    <t>POLK</t>
  </si>
  <si>
    <t>Rishara Finsel</t>
  </si>
  <si>
    <t>(828) 894-8721</t>
  </si>
  <si>
    <t>(828) 894-2761</t>
  </si>
  <si>
    <t>rfinsel@polklibrary.org</t>
  </si>
  <si>
    <t>(828) 859-8721</t>
  </si>
  <si>
    <t>www.polklibrary.org</t>
  </si>
  <si>
    <t>C-POLK-P</t>
  </si>
  <si>
    <t>NC0041</t>
  </si>
  <si>
    <t>C-JOHNSTON</t>
  </si>
  <si>
    <t>305 MARKET ST</t>
  </si>
  <si>
    <t>SMITHFIELD</t>
  </si>
  <si>
    <t>PUBLIC LIBRARY OF JOHNSTON COUNTY &amp; SMITHFIELD</t>
  </si>
  <si>
    <t>Margaret Marshall</t>
  </si>
  <si>
    <t>(919) 934-8146</t>
  </si>
  <si>
    <t>(919) 934-8084</t>
  </si>
  <si>
    <t>mmarshall@pljcs.org</t>
  </si>
  <si>
    <t>www.pljcs.org</t>
  </si>
  <si>
    <t>PUBLIC LIBRARY OF JOHNSTON CNTY &amp; SMITHFIELD</t>
  </si>
  <si>
    <t>C-JOHNSTON-J</t>
  </si>
  <si>
    <t>NC0052</t>
  </si>
  <si>
    <t>C-RANDOLPH</t>
  </si>
  <si>
    <t>201 WORTH ST</t>
  </si>
  <si>
    <t>ASHEBORO</t>
  </si>
  <si>
    <t>RANDOLPH PUBLIC LIBRARY</t>
  </si>
  <si>
    <t>RANDOLPH</t>
  </si>
  <si>
    <t>ROSS HOLT</t>
  </si>
  <si>
    <t>(336) 318-6806</t>
  </si>
  <si>
    <t>(336) 318-6823</t>
  </si>
  <si>
    <t>rholt@randolphlibrary.org</t>
  </si>
  <si>
    <t>Linda S. Shirley</t>
  </si>
  <si>
    <t>Business Manager</t>
  </si>
  <si>
    <t>(336) 318-6812</t>
  </si>
  <si>
    <t>lsshirley@randolphlibrary.org</t>
  </si>
  <si>
    <t>www.randolphlibrary.org</t>
  </si>
  <si>
    <t>C-RANDOLPH-R</t>
  </si>
  <si>
    <t>NC0088</t>
  </si>
  <si>
    <t>M-ROANOKE RAPIDS</t>
  </si>
  <si>
    <t>HQ</t>
  </si>
  <si>
    <t>319 ROANOKE AVE</t>
  </si>
  <si>
    <t>ROANOKE RAPIDS</t>
  </si>
  <si>
    <t>ROANOKE RAPIDS PUBLIC LIBRARY</t>
  </si>
  <si>
    <t>Jeffrey C. Watson</t>
  </si>
  <si>
    <t>(252) 533-2890</t>
  </si>
  <si>
    <t>jwatson@roanokerapidsnc.com</t>
  </si>
  <si>
    <t>Head Librarian</t>
  </si>
  <si>
    <t>www.youseemore.com/RoanokeRapids/</t>
  </si>
  <si>
    <t>M-ROANOKERAPIDS-R</t>
  </si>
  <si>
    <t>NC0053</t>
  </si>
  <si>
    <t>C-ROBESON</t>
  </si>
  <si>
    <t>PO BOX 988</t>
  </si>
  <si>
    <t>LUMBERTON</t>
  </si>
  <si>
    <t>101 N CHESTNUT ST</t>
  </si>
  <si>
    <t>ROBESON COUNTY PUBLIC LIBRARY</t>
  </si>
  <si>
    <t>ROBESON</t>
  </si>
  <si>
    <t>Katie Fountain</t>
  </si>
  <si>
    <t>(910) 738-4859</t>
  </si>
  <si>
    <t>(910) 739-8321</t>
  </si>
  <si>
    <t>kfountain@robesoncountylibrary.org</t>
  </si>
  <si>
    <t>www.robesoncountylibrary.org</t>
  </si>
  <si>
    <t>C-ROBESON-L</t>
  </si>
  <si>
    <t>NC0054</t>
  </si>
  <si>
    <t>C-ROCKINGHAM</t>
  </si>
  <si>
    <t>527 BOONE RD</t>
  </si>
  <si>
    <t>EDEN</t>
  </si>
  <si>
    <t>ROCKINGHAM COUNTY PUBLIC LIBRARY</t>
  </si>
  <si>
    <t>ROCKINGHAM</t>
  </si>
  <si>
    <t>Michael P. Roche</t>
  </si>
  <si>
    <t>(336) 627-1106</t>
  </si>
  <si>
    <t>(336) 623-1258</t>
  </si>
  <si>
    <t>mroche@co.rockingham.nc.us</t>
  </si>
  <si>
    <t>Cathy B. Lemons</t>
  </si>
  <si>
    <t>Administrative Assistant II</t>
  </si>
  <si>
    <t>clemons@co.rockingham.nc.us</t>
  </si>
  <si>
    <t>www.rcpl.org</t>
  </si>
  <si>
    <t>EDEN BRANCH LIBRARY</t>
  </si>
  <si>
    <t>598 S PIERCE ST</t>
  </si>
  <si>
    <t>C-ROCKINGHAM-E</t>
  </si>
  <si>
    <t>NC0055</t>
  </si>
  <si>
    <t>C-ROWAN</t>
  </si>
  <si>
    <t>201 W FISHER ST</t>
  </si>
  <si>
    <t>SALISBURY</t>
  </si>
  <si>
    <t>ROWAN PUBLIC LIBRARY</t>
  </si>
  <si>
    <t>ROWAN</t>
  </si>
  <si>
    <t>Jeff Hall</t>
  </si>
  <si>
    <t>(704) 216-8233</t>
  </si>
  <si>
    <t>(704) 216-8237</t>
  </si>
  <si>
    <t>jeff.hall@rowancountync.gov</t>
  </si>
  <si>
    <t>Edward Hirst</t>
  </si>
  <si>
    <t>Technical Services Supervisor</t>
  </si>
  <si>
    <t>(704) 216-8259</t>
  </si>
  <si>
    <t>(704) 216-8262</t>
  </si>
  <si>
    <t>edward.hirst@rowancountync.gov</t>
  </si>
  <si>
    <t>www.rowanpubliclibrary.org</t>
  </si>
  <si>
    <t>NC0056</t>
  </si>
  <si>
    <t>C-RUTHERFORD</t>
  </si>
  <si>
    <t>255 CALLAHAN KOON RD</t>
  </si>
  <si>
    <t>SPINDALE</t>
  </si>
  <si>
    <t>RUTHERFORD COUNTY LIBRARY</t>
  </si>
  <si>
    <t>RUTHERFORD</t>
  </si>
  <si>
    <t>April Young</t>
  </si>
  <si>
    <t>(828) 287-6117</t>
  </si>
  <si>
    <t>(828) 287-6119</t>
  </si>
  <si>
    <t>april.young@rutherfordcountync.gov</t>
  </si>
  <si>
    <t>rutherfordcountylibrary.org</t>
  </si>
  <si>
    <t>C-RUTHERFORD-S</t>
  </si>
  <si>
    <t>NC0057</t>
  </si>
  <si>
    <t>C-SAMPSON</t>
  </si>
  <si>
    <t>217 GRAHAM ST</t>
  </si>
  <si>
    <t>CLINTON</t>
  </si>
  <si>
    <t>SAMPSON-CLINTON PUBLIC LIBRARY</t>
  </si>
  <si>
    <t>SAMPSON</t>
  </si>
  <si>
    <t>Heather Bonney</t>
  </si>
  <si>
    <t>(910) 592-4153</t>
  </si>
  <si>
    <t>(910) 590-3504</t>
  </si>
  <si>
    <t>hbonney@sampsonnc.com</t>
  </si>
  <si>
    <t>http://www.sampsonnc.com/departments/library_services/</t>
  </si>
  <si>
    <t>J.C. HOLLIDAY LIBRARY</t>
  </si>
  <si>
    <t>C-SAMPSON-S</t>
  </si>
  <si>
    <t>NC0015</t>
  </si>
  <si>
    <t>R-SANDHILL</t>
  </si>
  <si>
    <t>412 E FRANKLIN ST</t>
  </si>
  <si>
    <t>SANDHILL REGIONAL LIBRARY SYSTEM</t>
  </si>
  <si>
    <t>RICHMOND</t>
  </si>
  <si>
    <t>Jesse Gibson</t>
  </si>
  <si>
    <t>(910) 997-3388</t>
  </si>
  <si>
    <t>(910) 997-2516</t>
  </si>
  <si>
    <t>jesse.gibson@srls.info</t>
  </si>
  <si>
    <t>Donna Hudson</t>
  </si>
  <si>
    <t>donna.hudson@srls.info</t>
  </si>
  <si>
    <t>www.srls.info</t>
  </si>
  <si>
    <t>ALLEN LIBRARY</t>
  </si>
  <si>
    <t>307 PAGE STREET</t>
  </si>
  <si>
    <t>BISCOE</t>
  </si>
  <si>
    <t>307 PAGE ST</t>
  </si>
  <si>
    <t>MONTGOMERY</t>
  </si>
  <si>
    <t>R-SANDHILL-B</t>
  </si>
  <si>
    <t>NC0058</t>
  </si>
  <si>
    <t>C-SCOTLAND</t>
  </si>
  <si>
    <t>312 WEST CHURCH STREET</t>
  </si>
  <si>
    <t>LAURINBURG</t>
  </si>
  <si>
    <t>312 W CHURCH ST</t>
  </si>
  <si>
    <t>SCOTLAND COUNTY MEMORIAL LIBRARY</t>
  </si>
  <si>
    <t>SCOTLAND</t>
  </si>
  <si>
    <t>Leon L. Gyles</t>
  </si>
  <si>
    <t>(910) 276-0577</t>
  </si>
  <si>
    <t>(910) 276-4032</t>
  </si>
  <si>
    <t>lgyles@scotlandcounty.org</t>
  </si>
  <si>
    <t>www.scotlandcounty.org/188/library</t>
  </si>
  <si>
    <t>C-SCOTLAND-L</t>
  </si>
  <si>
    <t>NC0050</t>
  </si>
  <si>
    <t>C-PITT</t>
  </si>
  <si>
    <t>530 S EVANS ST</t>
  </si>
  <si>
    <t>GREENVILLE</t>
  </si>
  <si>
    <t>SHEPPARD MEMORIAL LIBRARY</t>
  </si>
  <si>
    <t>Greg Needham</t>
  </si>
  <si>
    <t>(252) 329-4585</t>
  </si>
  <si>
    <t>(252) 329-4255</t>
  </si>
  <si>
    <t>gneedham@sheppardlibrary.org</t>
  </si>
  <si>
    <t>Lynn Woolard - Financial / Tammy Fulcher - Statistical</t>
  </si>
  <si>
    <t>Business Mgr / Head of Technical Services</t>
  </si>
  <si>
    <t>(252) 329-4586</t>
  </si>
  <si>
    <t>lwoolard@sheppardlibrary.org / tfulcher@sheppardlibrary.org</t>
  </si>
  <si>
    <t>www.sheppardlibrary.org</t>
  </si>
  <si>
    <t>C-PITT-S</t>
  </si>
  <si>
    <t>NC0093</t>
  </si>
  <si>
    <t>M-SOUTHERN PINES</t>
  </si>
  <si>
    <t>170 W CONNECTICUT AVE</t>
  </si>
  <si>
    <t>SOUTHERN PINES</t>
  </si>
  <si>
    <t>SOUTHERN PINES PUBLIC LIBRARY</t>
  </si>
  <si>
    <t>MOORE</t>
  </si>
  <si>
    <t>Lynn Thompson</t>
  </si>
  <si>
    <t>(910) 692-8235</t>
  </si>
  <si>
    <t>(910) 695-1037</t>
  </si>
  <si>
    <t>thompson@sppl.net</t>
  </si>
  <si>
    <t>Director of Library and IT Services</t>
  </si>
  <si>
    <t>www.sppl.net</t>
  </si>
  <si>
    <t>910-695-1037</t>
  </si>
  <si>
    <t>M-SOUTHERNPINES-S</t>
  </si>
  <si>
    <t>NC0059</t>
  </si>
  <si>
    <t>C-STANLY</t>
  </si>
  <si>
    <t>133 E MAIN ST</t>
  </si>
  <si>
    <t>ALBEMARLE</t>
  </si>
  <si>
    <t>STANLY COUNTY PUBLIC LIBRARY</t>
  </si>
  <si>
    <t>STANLY</t>
  </si>
  <si>
    <t>Melanie J Holles</t>
  </si>
  <si>
    <t>(704) 986-3766</t>
  </si>
  <si>
    <t>(704) 983-6713</t>
  </si>
  <si>
    <t>mholles@stanlycountylibrary.org</t>
  </si>
  <si>
    <t>www.stanlycountylibrary.org</t>
  </si>
  <si>
    <t>C-STANLY-A</t>
  </si>
  <si>
    <t>NC0060</t>
  </si>
  <si>
    <t>C-TRANSYLVANIA</t>
  </si>
  <si>
    <t>212 S GASTON ST</t>
  </si>
  <si>
    <t>BREVARD</t>
  </si>
  <si>
    <t>TRANSYLVANIA COUNTY LIBRARY</t>
  </si>
  <si>
    <t>TRANSYLVANIA</t>
  </si>
  <si>
    <t>Anna Yount</t>
  </si>
  <si>
    <t>(828) 884-1818</t>
  </si>
  <si>
    <t>(828) 877-4230</t>
  </si>
  <si>
    <t>anna.yount@transylvaniacounty.org</t>
  </si>
  <si>
    <t>Saronda Morgan</t>
  </si>
  <si>
    <t>Library Program Support Assistant</t>
  </si>
  <si>
    <t>(828) 884-1819</t>
  </si>
  <si>
    <t>saronda.morgan@tconc.org</t>
  </si>
  <si>
    <t>library.transylvaniacounty.org</t>
  </si>
  <si>
    <t>C-TRANSYLVANIA-B</t>
  </si>
  <si>
    <t>NC0061</t>
  </si>
  <si>
    <t>C-UNION</t>
  </si>
  <si>
    <t>316 E WINDSOR ST</t>
  </si>
  <si>
    <t>MONROE</t>
  </si>
  <si>
    <t>UNION COUNTY PUBLIC LIBRARY</t>
  </si>
  <si>
    <t>UNION</t>
  </si>
  <si>
    <t>Nina Meadows</t>
  </si>
  <si>
    <t>(704) 283-8184</t>
  </si>
  <si>
    <t>(704) 282-0657</t>
  </si>
  <si>
    <t>Nina.Meadows@unioncountync.gov</t>
  </si>
  <si>
    <t>Tammy Lewis</t>
  </si>
  <si>
    <t>Training &amp; Technology Specialist</t>
  </si>
  <si>
    <t>Tammy.Lewis@unioncountync.gov</t>
  </si>
  <si>
    <t>www.union.lib.nc.us</t>
  </si>
  <si>
    <t>C-UNION-U</t>
  </si>
  <si>
    <t>NC0063</t>
  </si>
  <si>
    <t>C-WAKE</t>
  </si>
  <si>
    <t>4020 CARYA DR</t>
  </si>
  <si>
    <t>RALEIGH</t>
  </si>
  <si>
    <t>WAKE COUNTY PUBLIC LIBRARIES</t>
  </si>
  <si>
    <t>WAKE</t>
  </si>
  <si>
    <t>Michael J. Wasilick</t>
  </si>
  <si>
    <t>(919) 250-4532</t>
  </si>
  <si>
    <t>(919) 250-1209</t>
  </si>
  <si>
    <t>mwasilick@wakegov.com</t>
  </si>
  <si>
    <t>Carol McCollum</t>
  </si>
  <si>
    <t>Data Coordinator</t>
  </si>
  <si>
    <t>(919) 250-1191</t>
  </si>
  <si>
    <t>cmccollum@wakegov.com</t>
  </si>
  <si>
    <t>www.wakegov.com/libraries</t>
  </si>
  <si>
    <t>NC0101</t>
  </si>
  <si>
    <t>C-WARREN COUNTY</t>
  </si>
  <si>
    <t>119 S FRONT ST</t>
  </si>
  <si>
    <t>WARRENTON</t>
  </si>
  <si>
    <t>WARREN COUNTY MEMORIAL LIBRARY</t>
  </si>
  <si>
    <t>WARREN</t>
  </si>
  <si>
    <t>Cheryl Reddish</t>
  </si>
  <si>
    <t>(252) 257-4990</t>
  </si>
  <si>
    <t>(252) 257-4089</t>
  </si>
  <si>
    <t>cherylreddish@warrencountync.gov</t>
  </si>
  <si>
    <t>www.wcmlibrary.org</t>
  </si>
  <si>
    <t>C-WARREN</t>
  </si>
  <si>
    <t>NC0065</t>
  </si>
  <si>
    <t>C-WAYNE</t>
  </si>
  <si>
    <t>1001 E ASH ST</t>
  </si>
  <si>
    <t>GOLDSBORO</t>
  </si>
  <si>
    <t>WAYNE COUNTY PUBLIC LIBRARY</t>
  </si>
  <si>
    <t>WAYNE</t>
  </si>
  <si>
    <t>DONNA PHILLIPS</t>
  </si>
  <si>
    <t>(919) 735-1880</t>
  </si>
  <si>
    <t>(919) 731-2889</t>
  </si>
  <si>
    <t>donna.phillips@waynegov.com</t>
  </si>
  <si>
    <t>ROSEMARY LOOMIS</t>
  </si>
  <si>
    <t>(919) 580-4014</t>
  </si>
  <si>
    <t>rosemary.loomis@waynegov.com</t>
  </si>
  <si>
    <t>www.wcpl.org</t>
  </si>
  <si>
    <t>WAYNE COUNTY PUBLIC LIBRARY, INC.</t>
  </si>
  <si>
    <t>C-WAYNE-G</t>
  </si>
  <si>
    <t>NC0066</t>
  </si>
  <si>
    <t>C-WILSON</t>
  </si>
  <si>
    <t>249 NASH ST W</t>
  </si>
  <si>
    <t>WILSON</t>
  </si>
  <si>
    <t>WILSON COUNTY PUBLIC LIBRARY</t>
  </si>
  <si>
    <t>Molly Westmoreland</t>
  </si>
  <si>
    <t>(252) 237-5355</t>
  </si>
  <si>
    <t>(252) 265-5569</t>
  </si>
  <si>
    <t>mwestmoreland@wilson-co.com</t>
  </si>
  <si>
    <t>www.wilsoncountypubliclibrary.org</t>
  </si>
  <si>
    <t>C-WILSON-W</t>
  </si>
  <si>
    <t>TABLE 1 - LIBRARY PROFILE</t>
  </si>
  <si>
    <t>NC Dept. of Commerce tier designation (2014)</t>
  </si>
  <si>
    <t>Legal service population area</t>
  </si>
  <si>
    <t>Service outlets</t>
  </si>
  <si>
    <t>Annual hours</t>
  </si>
  <si>
    <t>Central</t>
  </si>
  <si>
    <t>Branches</t>
  </si>
  <si>
    <t>Bookmobiles</t>
  </si>
  <si>
    <t>Other mobile units</t>
  </si>
  <si>
    <t>Mobile units</t>
  </si>
  <si>
    <t>County Libraries</t>
  </si>
  <si>
    <t>Total:</t>
  </si>
  <si>
    <t>Mean average:</t>
  </si>
  <si>
    <t>Regional Libraries</t>
  </si>
  <si>
    <t>Municipal Libraries</t>
  </si>
  <si>
    <t>Clayton</t>
  </si>
  <si>
    <t>NC totals:</t>
  </si>
  <si>
    <t xml:space="preserve">NC mean average: </t>
  </si>
  <si>
    <t>TABLE 2 - LIBRARY STAFF</t>
  </si>
  <si>
    <t>FTE</t>
  </si>
  <si>
    <t>Total</t>
  </si>
  <si>
    <t>FTE Per</t>
  </si>
  <si>
    <t>% of Staff</t>
  </si>
  <si>
    <t>MLS</t>
  </si>
  <si>
    <t>with</t>
  </si>
  <si>
    <t>ALA/MLS</t>
  </si>
  <si>
    <t>Not ALA</t>
  </si>
  <si>
    <t>Paid Staff</t>
  </si>
  <si>
    <t>Population</t>
  </si>
  <si>
    <t>Mean average</t>
  </si>
  <si>
    <t>NC mean average</t>
  </si>
  <si>
    <t>TABLE 3 - SALARIES AND WAGES</t>
  </si>
  <si>
    <t>Staff</t>
  </si>
  <si>
    <t>Expenditures on</t>
  </si>
  <si>
    <t>Salary</t>
  </si>
  <si>
    <t>Year</t>
  </si>
  <si>
    <t>expenditures</t>
  </si>
  <si>
    <t>salaries &amp; wages</t>
  </si>
  <si>
    <t>Salary ($)</t>
  </si>
  <si>
    <t xml:space="preserve"> range ($)</t>
  </si>
  <si>
    <t>Appointed</t>
  </si>
  <si>
    <t>per capita</t>
  </si>
  <si>
    <t>per FTE</t>
  </si>
  <si>
    <t>51,750-80,213</t>
  </si>
  <si>
    <t>41,856 - 68,587</t>
  </si>
  <si>
    <t>N/A</t>
  </si>
  <si>
    <t>Branch Manager</t>
  </si>
  <si>
    <t>Ave</t>
  </si>
  <si>
    <t>Management</t>
  </si>
  <si>
    <t>Youth Services</t>
  </si>
  <si>
    <t>Adult Services</t>
  </si>
  <si>
    <t>Technical Services</t>
  </si>
  <si>
    <t>Circulation</t>
  </si>
  <si>
    <t>Non-Management</t>
  </si>
  <si>
    <t>Assistant</t>
  </si>
  <si>
    <t>TABLE 4 - OPERATING INCOME</t>
  </si>
  <si>
    <t>Local Funds ($)</t>
  </si>
  <si>
    <t>State Funds ($)</t>
  </si>
  <si>
    <t>Federal Funds ($)</t>
  </si>
  <si>
    <t>Operating</t>
  </si>
  <si>
    <t xml:space="preserve">County </t>
  </si>
  <si>
    <t xml:space="preserve">Total </t>
  </si>
  <si>
    <t>State Aid</t>
  </si>
  <si>
    <t xml:space="preserve">Other </t>
  </si>
  <si>
    <t xml:space="preserve">Total  </t>
  </si>
  <si>
    <t xml:space="preserve"> Funds ($)</t>
  </si>
  <si>
    <t>Income ($)</t>
  </si>
  <si>
    <t>NC total</t>
  </si>
  <si>
    <t>TABLE 5 - OPERATING INCOME: PER CAPITA MEASURES &amp; PERCENT TOTALS</t>
  </si>
  <si>
    <t>Local</t>
  </si>
  <si>
    <t>Income</t>
  </si>
  <si>
    <t>Operating Funds as a Percent (%) of Total Income</t>
  </si>
  <si>
    <t>Per Capita($)</t>
  </si>
  <si>
    <t>Federal</t>
  </si>
  <si>
    <t>Alamance</t>
  </si>
  <si>
    <t>Alexander</t>
  </si>
  <si>
    <t>Bladen</t>
  </si>
  <si>
    <t>Brunswick</t>
  </si>
  <si>
    <t>Buncombe</t>
  </si>
  <si>
    <t>Burke</t>
  </si>
  <si>
    <t>Cabarrus</t>
  </si>
  <si>
    <t>Caldwell</t>
  </si>
  <si>
    <t>Caswell</t>
  </si>
  <si>
    <t>Catawba</t>
  </si>
  <si>
    <t>Chatham</t>
  </si>
  <si>
    <t>Cleveland</t>
  </si>
  <si>
    <t>Columbus</t>
  </si>
  <si>
    <t>Cumberland</t>
  </si>
  <si>
    <t>Davidson</t>
  </si>
  <si>
    <t>Davie</t>
  </si>
  <si>
    <t>Duplin</t>
  </si>
  <si>
    <t>Durham</t>
  </si>
  <si>
    <t>Edgecombe</t>
  </si>
  <si>
    <t>Forsyth</t>
  </si>
  <si>
    <t>Franklin</t>
  </si>
  <si>
    <t>Granville</t>
  </si>
  <si>
    <t>Guilford (Greensboro)</t>
  </si>
  <si>
    <t>Halifax</t>
  </si>
  <si>
    <t>Harnett</t>
  </si>
  <si>
    <t>Haywood</t>
  </si>
  <si>
    <t>Henderson</t>
  </si>
  <si>
    <t>Iredell</t>
  </si>
  <si>
    <t>Lee</t>
  </si>
  <si>
    <t>Lincoln</t>
  </si>
  <si>
    <t>Madison</t>
  </si>
  <si>
    <t>McDowell</t>
  </si>
  <si>
    <t>Mecklenburg</t>
  </si>
  <si>
    <t>Nash (Braswell)</t>
  </si>
  <si>
    <t>New Hanover</t>
  </si>
  <si>
    <t>Onslow</t>
  </si>
  <si>
    <t>Pender</t>
  </si>
  <si>
    <t>Person</t>
  </si>
  <si>
    <t>Pitt (Sheppard)</t>
  </si>
  <si>
    <t>Polk</t>
  </si>
  <si>
    <t>Randolph</t>
  </si>
  <si>
    <t>Robeson</t>
  </si>
  <si>
    <t>Rockingham</t>
  </si>
  <si>
    <t>Rowan</t>
  </si>
  <si>
    <t>Rutherford</t>
  </si>
  <si>
    <t>Sampson</t>
  </si>
  <si>
    <t>Scotland</t>
  </si>
  <si>
    <t>Stanly</t>
  </si>
  <si>
    <t>Transylvania</t>
  </si>
  <si>
    <t>Union</t>
  </si>
  <si>
    <t>Vance (Perry)</t>
  </si>
  <si>
    <t>Wake</t>
  </si>
  <si>
    <t>Warren</t>
  </si>
  <si>
    <t>Wayne</t>
  </si>
  <si>
    <t>Wilson</t>
  </si>
  <si>
    <t>Albemarle</t>
  </si>
  <si>
    <t>AMY</t>
  </si>
  <si>
    <t>Appalachian</t>
  </si>
  <si>
    <t>BHM</t>
  </si>
  <si>
    <t>CPC</t>
  </si>
  <si>
    <t>E. Albemarle</t>
  </si>
  <si>
    <t>Fontana</t>
  </si>
  <si>
    <t>Nantahala</t>
  </si>
  <si>
    <t>Neuse</t>
  </si>
  <si>
    <t>Northwestern</t>
  </si>
  <si>
    <t>Pettigrew</t>
  </si>
  <si>
    <t>Sandhill</t>
  </si>
  <si>
    <t>Chapel Hill</t>
  </si>
  <si>
    <t>Farmville</t>
  </si>
  <si>
    <t>Hickory</t>
  </si>
  <si>
    <t>High Point</t>
  </si>
  <si>
    <t>Kings Mountain</t>
  </si>
  <si>
    <t>Mooresville</t>
  </si>
  <si>
    <t>Nashville</t>
  </si>
  <si>
    <t>Roanoke Rapids</t>
  </si>
  <si>
    <t>Southern Pines</t>
  </si>
  <si>
    <t>Washington</t>
  </si>
  <si>
    <t>July 1, 2016 - June 30, 2017</t>
  </si>
  <si>
    <t>TABLE 6 - OPERATING EXPENDITURES</t>
  </si>
  <si>
    <t>% of Total</t>
  </si>
  <si>
    <t xml:space="preserve">Personnel </t>
  </si>
  <si>
    <t xml:space="preserve">% of Total </t>
  </si>
  <si>
    <t xml:space="preserve">Collection </t>
  </si>
  <si>
    <t>Personnel</t>
  </si>
  <si>
    <t>For</t>
  </si>
  <si>
    <t>Costs ($)</t>
  </si>
  <si>
    <t>Collection</t>
  </si>
  <si>
    <t>Total ($)</t>
  </si>
  <si>
    <t>Operating ($)</t>
  </si>
  <si>
    <t>($)</t>
  </si>
  <si>
    <t xml:space="preserve">Per Capita </t>
  </si>
  <si>
    <t xml:space="preserve"> Operating </t>
  </si>
  <si>
    <t xml:space="preserve"> Per Capita</t>
  </si>
  <si>
    <t>TABLE 7 - COLLECTIONS</t>
  </si>
  <si>
    <t>Print collections</t>
  </si>
  <si>
    <t>Non print collections</t>
  </si>
  <si>
    <t>Adult</t>
  </si>
  <si>
    <t>Young adult</t>
  </si>
  <si>
    <t>Juvenile</t>
  </si>
  <si>
    <t>Total Book</t>
  </si>
  <si>
    <t>Print Serial</t>
  </si>
  <si>
    <t>Audio &amp;</t>
  </si>
  <si>
    <t>Video &amp;</t>
  </si>
  <si>
    <t>ePeriodical</t>
  </si>
  <si>
    <t>Books</t>
  </si>
  <si>
    <t>Volumes</t>
  </si>
  <si>
    <t>Subscriptions</t>
  </si>
  <si>
    <t>eAudio</t>
  </si>
  <si>
    <t>eVideo</t>
  </si>
  <si>
    <t>eBooks</t>
  </si>
  <si>
    <t xml:space="preserve">TABLE 8 - COLLECTION: PERCENT TOTALS &amp; PER CAPITA MEASURES </t>
  </si>
  <si>
    <t>% of</t>
  </si>
  <si>
    <t xml:space="preserve">Books Young </t>
  </si>
  <si>
    <t>Book Volumes</t>
  </si>
  <si>
    <t>Per</t>
  </si>
  <si>
    <t>Per 1,000</t>
  </si>
  <si>
    <t>Adult Volumes</t>
  </si>
  <si>
    <t>Juvenile Volumes</t>
  </si>
  <si>
    <t>Per Capita</t>
  </si>
  <si>
    <t>Capita</t>
  </si>
  <si>
    <t xml:space="preserve"> </t>
  </si>
  <si>
    <t>TABLE 9 - CIRCULATION: TYPE OF MATERIAL</t>
  </si>
  <si>
    <t>Print</t>
  </si>
  <si>
    <t>Non-Print</t>
  </si>
  <si>
    <t>Total Use of Electronic Materials</t>
  </si>
  <si>
    <t>Young Adult</t>
  </si>
  <si>
    <t>Total Print</t>
  </si>
  <si>
    <t>Periodicals</t>
  </si>
  <si>
    <t>ePeriodicals</t>
  </si>
  <si>
    <t>Databases</t>
  </si>
  <si>
    <t xml:space="preserve">TABLE 10 - CIRCULATION: SERVICE OUTLETS &amp; SERVICE MEASURES </t>
  </si>
  <si>
    <t>Print circulation (Books only)</t>
  </si>
  <si>
    <t>Electronic Materials</t>
  </si>
  <si>
    <t>Cost Per</t>
  </si>
  <si>
    <t>% Adult</t>
  </si>
  <si>
    <t>% Young</t>
  </si>
  <si>
    <t xml:space="preserve">% Young Adult </t>
  </si>
  <si>
    <t>% Juvenile</t>
  </si>
  <si>
    <t>Fiction</t>
  </si>
  <si>
    <t>Non-Fiction</t>
  </si>
  <si>
    <t>Adult Fiction</t>
  </si>
  <si>
    <t>Total or mean average*</t>
  </si>
  <si>
    <t>*</t>
  </si>
  <si>
    <t>Average</t>
  </si>
  <si>
    <t>Collection Use</t>
  </si>
  <si>
    <t>TABLE 11 -  SERVICE MEASURES: USERS, VISITS, REFERENCE, ILL</t>
  </si>
  <si>
    <t>Registered Users</t>
  </si>
  <si>
    <t>Number of</t>
  </si>
  <si>
    <t>Library</t>
  </si>
  <si>
    <t>Reference</t>
  </si>
  <si>
    <t>Reference:</t>
  </si>
  <si>
    <t>Interlibrary Loan</t>
  </si>
  <si>
    <t>Annual Library</t>
  </si>
  <si>
    <t>Visits</t>
  </si>
  <si>
    <t>Transactions</t>
  </si>
  <si>
    <t>Technology/</t>
  </si>
  <si>
    <t>Workforce</t>
  </si>
  <si>
    <t>Items</t>
  </si>
  <si>
    <t>Adults</t>
  </si>
  <si>
    <t>Juveniles</t>
  </si>
  <si>
    <t>Computers</t>
  </si>
  <si>
    <t>Development</t>
  </si>
  <si>
    <t>Loaned</t>
  </si>
  <si>
    <t>Borrowed</t>
  </si>
  <si>
    <t>Totals or mean average*</t>
  </si>
  <si>
    <t>*Total or mean average</t>
  </si>
  <si>
    <t>TABLE 12 -  LIBRARY PROGRAMS, ATTENDANCE, AND MEETING SPACE</t>
  </si>
  <si>
    <t>Number of Programs</t>
  </si>
  <si>
    <t>Program attendance</t>
  </si>
  <si>
    <t>Young</t>
  </si>
  <si>
    <t>Attendance</t>
  </si>
  <si>
    <t>Meeting Rooms</t>
  </si>
  <si>
    <t>Children</t>
  </si>
  <si>
    <t>Use</t>
  </si>
  <si>
    <t>NC totals or mean average*</t>
  </si>
  <si>
    <t>TABLE 13 - ELECTRONIC TECHNOLOGY</t>
  </si>
  <si>
    <t>Internet Computers</t>
  </si>
  <si>
    <t>Public per</t>
  </si>
  <si>
    <t>Use Sessions</t>
  </si>
  <si>
    <t>Wireless</t>
  </si>
  <si>
    <t>Technology</t>
  </si>
  <si>
    <t>of Internet</t>
  </si>
  <si>
    <t>Internet</t>
  </si>
  <si>
    <t>Website</t>
  </si>
  <si>
    <t>Lending</t>
  </si>
  <si>
    <t>Only</t>
  </si>
  <si>
    <t>Public</t>
  </si>
  <si>
    <t>Sessions</t>
  </si>
  <si>
    <t>TABLE 14 -  SUMMER READING PROGRAM</t>
  </si>
  <si>
    <t xml:space="preserve"> Library staff did</t>
  </si>
  <si>
    <t>AGE 0-5TH GRADE</t>
  </si>
  <si>
    <t>6-12TH GRADE</t>
  </si>
  <si>
    <t>TOTALS</t>
  </si>
  <si>
    <t>school/daycare visits</t>
  </si>
  <si>
    <t>Registered</t>
  </si>
  <si>
    <t>Programs/</t>
  </si>
  <si>
    <t>Event</t>
  </si>
  <si>
    <t>Minutes</t>
  </si>
  <si>
    <t xml:space="preserve"> to advertise SRP</t>
  </si>
  <si>
    <t>Participants</t>
  </si>
  <si>
    <t>Events</t>
  </si>
  <si>
    <t>Read</t>
  </si>
  <si>
    <t>Circulated</t>
  </si>
  <si>
    <t>Totals</t>
  </si>
  <si>
    <t>NC totals</t>
  </si>
  <si>
    <t xml:space="preserve">          Five-Year Statewide Summary</t>
  </si>
  <si>
    <t>Collections/Circulation</t>
  </si>
  <si>
    <t>Print Book</t>
  </si>
  <si>
    <t xml:space="preserve">Electronic </t>
  </si>
  <si>
    <t>Cost per</t>
  </si>
  <si>
    <t>Grand</t>
  </si>
  <si>
    <t>Materials</t>
  </si>
  <si>
    <t>Usage*</t>
  </si>
  <si>
    <t>Circulation ($)</t>
  </si>
  <si>
    <t>Circulation**</t>
  </si>
  <si>
    <t>2012-2013</t>
  </si>
  <si>
    <t>2013-2014</t>
  </si>
  <si>
    <t>2014-2015</t>
  </si>
  <si>
    <t>2015-2016</t>
  </si>
  <si>
    <t>Trend</t>
  </si>
  <si>
    <t>Operating Income</t>
  </si>
  <si>
    <t>Local Income</t>
  </si>
  <si>
    <t>Total Income</t>
  </si>
  <si>
    <t>Per Capita ($)</t>
  </si>
  <si>
    <t>State Aid ($)</t>
  </si>
  <si>
    <t>Per capita ($)</t>
  </si>
  <si>
    <t>Operating Expenditures</t>
  </si>
  <si>
    <t>Expenses ($)</t>
  </si>
  <si>
    <t>Service Measures</t>
  </si>
  <si>
    <t xml:space="preserve">Library </t>
  </si>
  <si>
    <t xml:space="preserve">Public </t>
  </si>
  <si>
    <t>Questions</t>
  </si>
  <si>
    <t>Computer</t>
  </si>
  <si>
    <t>Annual</t>
  </si>
  <si>
    <t>Borrowers</t>
  </si>
  <si>
    <t>Usage</t>
  </si>
  <si>
    <t>Hours</t>
  </si>
  <si>
    <t>Program/FTE Staff Measures</t>
  </si>
  <si>
    <t>Program</t>
  </si>
  <si>
    <t>FTE Staff Per</t>
  </si>
  <si>
    <t>% Staff</t>
  </si>
  <si>
    <t>Programs</t>
  </si>
  <si>
    <t>ALA MLS</t>
  </si>
  <si>
    <t>25,000 Pop.</t>
  </si>
  <si>
    <t>with ALA MLS</t>
  </si>
  <si>
    <t xml:space="preserve">*2015-16 includes database usage along with ebooks, downloadable audio, downloadable video, and eperiodicals for the first time. </t>
  </si>
  <si>
    <t>**The number also includes database usage for the first time.</t>
  </si>
  <si>
    <t xml:space="preserve">      2012-2017</t>
  </si>
  <si>
    <t>2016-2017</t>
  </si>
  <si>
    <t>66,245 - 105,991</t>
  </si>
  <si>
    <t>2010</t>
  </si>
  <si>
    <t>45670.37-64531.04</t>
  </si>
  <si>
    <t>2011</t>
  </si>
  <si>
    <t>$50,081-$64,544</t>
  </si>
  <si>
    <t>2015</t>
  </si>
  <si>
    <t>71,489 - 114,383</t>
  </si>
  <si>
    <t>1980</t>
  </si>
  <si>
    <t>85,722 - 131,131</t>
  </si>
  <si>
    <t>55076-85368</t>
  </si>
  <si>
    <t>2007</t>
  </si>
  <si>
    <t>77,542.40 - 120,868.80</t>
  </si>
  <si>
    <t>2014</t>
  </si>
  <si>
    <t>$54,098.00-$81,146.00</t>
  </si>
  <si>
    <t>-1</t>
  </si>
  <si>
    <t>55,189 - ?</t>
  </si>
  <si>
    <t>75,840-125,137</t>
  </si>
  <si>
    <t>2013</t>
  </si>
  <si>
    <t>69870-108299</t>
  </si>
  <si>
    <t>2001</t>
  </si>
  <si>
    <t>51183-79889</t>
  </si>
  <si>
    <t>1986</t>
  </si>
  <si>
    <t>52,785 - 75,407</t>
  </si>
  <si>
    <t>2002</t>
  </si>
  <si>
    <t>74,137-124,772</t>
  </si>
  <si>
    <t>2008</t>
  </si>
  <si>
    <t>$60,538 - $90,807</t>
  </si>
  <si>
    <t>2004</t>
  </si>
  <si>
    <t>57971-89899</t>
  </si>
  <si>
    <t>48,060 - 85,346</t>
  </si>
  <si>
    <t>2017</t>
  </si>
  <si>
    <t>83,905 - 163,615</t>
  </si>
  <si>
    <t>$84,407 - 143,493</t>
  </si>
  <si>
    <t>2000</t>
  </si>
  <si>
    <t>59190 - 106206</t>
  </si>
  <si>
    <t>72,44900--112,289</t>
  </si>
  <si>
    <t>101,275-168,792</t>
  </si>
  <si>
    <t>2012</t>
  </si>
  <si>
    <t>$52,715-$85,574</t>
  </si>
  <si>
    <t>1991</t>
  </si>
  <si>
    <t>$67,781-$111,839</t>
  </si>
  <si>
    <t>2016</t>
  </si>
  <si>
    <t>52000-71000</t>
  </si>
  <si>
    <t>$67,470 - $108,985.50</t>
  </si>
  <si>
    <t>63,600-96,644</t>
  </si>
  <si>
    <t>1996</t>
  </si>
  <si>
    <t>55988-95036</t>
  </si>
  <si>
    <t>2003</t>
  </si>
  <si>
    <t>62,265 - 99,001</t>
  </si>
  <si>
    <t>$63,882 to $97,468</t>
  </si>
  <si>
    <t>2009</t>
  </si>
  <si>
    <t>$127,600 - $223,300</t>
  </si>
  <si>
    <t>91470 - 155499</t>
  </si>
  <si>
    <t>$74,975-$97,467</t>
  </si>
  <si>
    <t>75,967-126,970</t>
  </si>
  <si>
    <t>66,622 - 106,505</t>
  </si>
  <si>
    <t>1985</t>
  </si>
  <si>
    <t>88,109 - 132,205</t>
  </si>
  <si>
    <t>64795-100385</t>
  </si>
  <si>
    <t>59500 - 95,200</t>
  </si>
  <si>
    <t>62908 - 100653</t>
  </si>
  <si>
    <t>$65,122-$104,195</t>
  </si>
  <si>
    <t>61,084-94,688</t>
  </si>
  <si>
    <t>2005</t>
  </si>
  <si>
    <t>47,544 - 68,904</t>
  </si>
  <si>
    <t>57913-86870</t>
  </si>
  <si>
    <t>$63,211- $94,817</t>
  </si>
  <si>
    <t>1994</t>
  </si>
  <si>
    <t>74,779-112,168</t>
  </si>
  <si>
    <t>51,648-82,632</t>
  </si>
  <si>
    <t>$81,234 - $146,221</t>
  </si>
  <si>
    <t>$50,967 - $81,547</t>
  </si>
  <si>
    <t>$57,683-$89,965</t>
  </si>
  <si>
    <t>61140 - 103356</t>
  </si>
  <si>
    <t>39,125 to 42,500</t>
  </si>
  <si>
    <t>$43,641-$77,523</t>
  </si>
  <si>
    <t>$75000-$84074</t>
  </si>
  <si>
    <t>54,604-80,567</t>
  </si>
  <si>
    <t>2006</t>
  </si>
  <si>
    <t>$87,984-</t>
  </si>
  <si>
    <t>$59,050-$65,667</t>
  </si>
  <si>
    <t>52,891-70,879</t>
  </si>
  <si>
    <t>85405-138354</t>
  </si>
  <si>
    <t>$53,117 - $84,157</t>
  </si>
  <si>
    <t>43,000-65,000</t>
  </si>
  <si>
    <t>70,638-127,955</t>
  </si>
  <si>
    <t>86370-148079</t>
  </si>
  <si>
    <t>41,068-60,966</t>
  </si>
  <si>
    <t>$71,205-$111,361</t>
  </si>
  <si>
    <t>44000-48000</t>
  </si>
  <si>
    <t>$46,962-$69,663</t>
  </si>
  <si>
    <t>$63,225--$94,837</t>
  </si>
  <si>
    <t>1993</t>
  </si>
  <si>
    <t>49,851-73,778</t>
  </si>
  <si>
    <t xml:space="preserve">                           Statistical Report of North Carolina Public Libraries, July 1, 2016- June 30, 2017</t>
  </si>
  <si>
    <t>Statistical Report of North Carolina Public Libraries</t>
  </si>
  <si>
    <t xml:space="preserve"> Statistical Report of North Carolina Public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</si>
</sst>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&quot;$&quot;* #,##0_);_(&quot;$&quot;* \(#,##0\);_(&quot;$&quot;* &quot;-&quot;??_);_(@_)"/>
    <numFmt numFmtId="168" formatCode="&quot;$&quot;#,##0.00"/>
    <numFmt numFmtId="169" formatCode="&quot;$&quot;#,##0"/>
    <numFmt numFmtId="170" formatCode="_(&quot;$&quot;* #,##0.0_);_(&quot;$&quot;* \(#,##0.0\);_(&quot;$&quot;* &quot;-&quot;??_);_(@_)"/>
    <numFmt numFmtId="171" formatCode="_(* #,##0.0_);_(* \(#,##0.0\);_(* &quot;-&quot;??_);_(@_)"/>
    <numFmt numFmtId="172" formatCode="0.000"/>
    <numFmt numFmtId="173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sz val="10"/>
      <color indexed="10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theme="0" tint="-0.249977111117893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3">
    <xf numFmtId="0" fontId="0" fillId="0" borderId="0" xfId="0"/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6" fontId="0" fillId="0" borderId="0" xfId="0" applyNumberForma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10" fontId="16" fillId="0" borderId="0" xfId="0" applyNumberFormat="1" applyFont="1"/>
    <xf numFmtId="6" fontId="16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18" fillId="0" borderId="11" xfId="0" applyNumberFormat="1" applyFont="1" applyBorder="1"/>
    <xf numFmtId="164" fontId="18" fillId="0" borderId="11" xfId="1" applyNumberFormat="1" applyFont="1" applyBorder="1"/>
    <xf numFmtId="1" fontId="18" fillId="0" borderId="11" xfId="1" applyNumberFormat="1" applyFont="1" applyBorder="1"/>
    <xf numFmtId="0" fontId="19" fillId="0" borderId="0" xfId="0" applyFont="1" applyFill="1" applyBorder="1" applyAlignment="1">
      <alignment horizontal="right"/>
    </xf>
    <xf numFmtId="0" fontId="18" fillId="0" borderId="0" xfId="0" applyFont="1"/>
    <xf numFmtId="0" fontId="20" fillId="0" borderId="12" xfId="0" applyFont="1" applyFill="1" applyBorder="1"/>
    <xf numFmtId="0" fontId="21" fillId="0" borderId="0" xfId="0" applyFont="1" applyFill="1" applyBorder="1"/>
    <xf numFmtId="0" fontId="18" fillId="0" borderId="0" xfId="0" applyNumberFormat="1" applyFont="1" applyFill="1" applyBorder="1"/>
    <xf numFmtId="164" fontId="18" fillId="0" borderId="0" xfId="1" applyNumberFormat="1" applyFont="1" applyFill="1" applyBorder="1"/>
    <xf numFmtId="1" fontId="18" fillId="0" borderId="0" xfId="1" applyNumberFormat="1" applyFont="1" applyFill="1" applyBorder="1"/>
    <xf numFmtId="164" fontId="19" fillId="0" borderId="0" xfId="1" applyNumberFormat="1" applyFont="1" applyFill="1" applyBorder="1" applyAlignment="1">
      <alignment horizontal="right"/>
    </xf>
    <xf numFmtId="0" fontId="18" fillId="0" borderId="12" xfId="0" applyFont="1" applyFill="1" applyBorder="1"/>
    <xf numFmtId="0" fontId="18" fillId="0" borderId="0" xfId="0" applyFont="1" applyFill="1" applyBorder="1"/>
    <xf numFmtId="164" fontId="18" fillId="0" borderId="13" xfId="1" applyNumberFormat="1" applyFont="1" applyFill="1" applyBorder="1"/>
    <xf numFmtId="164" fontId="22" fillId="0" borderId="19" xfId="1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2" fillId="0" borderId="22" xfId="1" applyNumberFormat="1" applyFont="1" applyFill="1" applyBorder="1" applyAlignment="1">
      <alignment horizontal="center"/>
    </xf>
    <xf numFmtId="1" fontId="22" fillId="0" borderId="23" xfId="1" applyNumberFormat="1" applyFont="1" applyFill="1" applyBorder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1" fontId="22" fillId="0" borderId="22" xfId="1" applyNumberFormat="1" applyFont="1" applyFill="1" applyBorder="1" applyAlignment="1">
      <alignment horizontal="center" wrapText="1"/>
    </xf>
    <xf numFmtId="164" fontId="22" fillId="0" borderId="23" xfId="1" applyNumberFormat="1" applyFont="1" applyFill="1" applyBorder="1" applyAlignment="1">
      <alignment horizontal="center"/>
    </xf>
    <xf numFmtId="0" fontId="24" fillId="0" borderId="25" xfId="0" applyFont="1" applyBorder="1"/>
    <xf numFmtId="0" fontId="22" fillId="0" borderId="26" xfId="0" applyFont="1" applyFill="1" applyBorder="1" applyAlignment="1">
      <alignment horizontal="center"/>
    </xf>
    <xf numFmtId="0" fontId="24" fillId="0" borderId="26" xfId="2" applyNumberFormat="1" applyFont="1" applyFill="1" applyBorder="1" applyAlignment="1">
      <alignment horizontal="center"/>
    </xf>
    <xf numFmtId="164" fontId="24" fillId="0" borderId="26" xfId="1" applyNumberFormat="1" applyFont="1" applyFill="1" applyBorder="1" applyAlignment="1">
      <alignment horizontal="center"/>
    </xf>
    <xf numFmtId="1" fontId="24" fillId="0" borderId="26" xfId="1" applyNumberFormat="1" applyFont="1" applyFill="1" applyBorder="1" applyAlignment="1">
      <alignment horizontal="center"/>
    </xf>
    <xf numFmtId="164" fontId="24" fillId="0" borderId="27" xfId="1" applyNumberFormat="1" applyFont="1" applyFill="1" applyBorder="1" applyAlignment="1">
      <alignment horizontal="center"/>
    </xf>
    <xf numFmtId="3" fontId="24" fillId="0" borderId="28" xfId="0" applyNumberFormat="1" applyFont="1" applyFill="1" applyBorder="1"/>
    <xf numFmtId="3" fontId="24" fillId="0" borderId="29" xfId="0" applyNumberFormat="1" applyFont="1" applyFill="1" applyBorder="1"/>
    <xf numFmtId="3" fontId="24" fillId="0" borderId="12" xfId="0" applyNumberFormat="1" applyFont="1" applyFill="1" applyBorder="1"/>
    <xf numFmtId="3" fontId="25" fillId="0" borderId="0" xfId="1" applyNumberFormat="1" applyFont="1" applyBorder="1"/>
    <xf numFmtId="165" fontId="19" fillId="0" borderId="32" xfId="2" applyNumberFormat="1" applyFont="1" applyBorder="1" applyAlignment="1">
      <alignment horizontal="right"/>
    </xf>
    <xf numFmtId="164" fontId="26" fillId="0" borderId="33" xfId="1" applyNumberFormat="1" applyFont="1" applyBorder="1"/>
    <xf numFmtId="1" fontId="19" fillId="0" borderId="33" xfId="1" applyNumberFormat="1" applyFont="1" applyBorder="1"/>
    <xf numFmtId="164" fontId="19" fillId="0" borderId="33" xfId="1" applyNumberFormat="1" applyFont="1" applyBorder="1" applyAlignment="1">
      <alignment horizontal="right"/>
    </xf>
    <xf numFmtId="164" fontId="19" fillId="0" borderId="31" xfId="1" applyNumberFormat="1" applyFont="1" applyBorder="1"/>
    <xf numFmtId="0" fontId="22" fillId="0" borderId="26" xfId="0" applyFont="1" applyFill="1" applyBorder="1" applyAlignment="1">
      <alignment horizontal="center"/>
    </xf>
    <xf numFmtId="0" fontId="24" fillId="0" borderId="26" xfId="2" applyNumberFormat="1" applyFont="1" applyBorder="1"/>
    <xf numFmtId="164" fontId="25" fillId="0" borderId="26" xfId="1" applyNumberFormat="1" applyFont="1" applyBorder="1"/>
    <xf numFmtId="1" fontId="24" fillId="0" borderId="26" xfId="1" applyNumberFormat="1" applyFont="1" applyBorder="1"/>
    <xf numFmtId="164" fontId="24" fillId="0" borderId="26" xfId="1" applyNumberFormat="1" applyFont="1" applyBorder="1"/>
    <xf numFmtId="164" fontId="24" fillId="0" borderId="27" xfId="1" applyNumberFormat="1" applyFont="1" applyBorder="1"/>
    <xf numFmtId="0" fontId="24" fillId="0" borderId="28" xfId="0" applyFont="1" applyFill="1" applyBorder="1"/>
    <xf numFmtId="0" fontId="24" fillId="0" borderId="0" xfId="2" applyNumberFormat="1" applyFont="1" applyBorder="1"/>
    <xf numFmtId="165" fontId="19" fillId="0" borderId="30" xfId="2" applyNumberFormat="1" applyFont="1" applyBorder="1" applyAlignment="1">
      <alignment horizontal="right"/>
    </xf>
    <xf numFmtId="0" fontId="24" fillId="0" borderId="26" xfId="0" applyFont="1" applyBorder="1"/>
    <xf numFmtId="0" fontId="19" fillId="0" borderId="34" xfId="0" applyFont="1" applyFill="1" applyBorder="1" applyAlignment="1">
      <alignment horizontal="center"/>
    </xf>
    <xf numFmtId="0" fontId="19" fillId="0" borderId="34" xfId="2" applyNumberFormat="1" applyFont="1" applyBorder="1" applyAlignment="1">
      <alignment horizontal="right"/>
    </xf>
    <xf numFmtId="164" fontId="19" fillId="0" borderId="36" xfId="1" applyNumberFormat="1" applyFont="1" applyBorder="1"/>
    <xf numFmtId="1" fontId="19" fillId="0" borderId="36" xfId="1" applyNumberFormat="1" applyFont="1" applyBorder="1"/>
    <xf numFmtId="164" fontId="19" fillId="0" borderId="36" xfId="1" applyNumberFormat="1" applyFont="1" applyBorder="1" applyAlignment="1">
      <alignment horizontal="right"/>
    </xf>
    <xf numFmtId="164" fontId="19" fillId="0" borderId="35" xfId="1" applyNumberFormat="1" applyFont="1" applyBorder="1"/>
    <xf numFmtId="0" fontId="18" fillId="0" borderId="11" xfId="0" applyFont="1" applyFill="1" applyBorder="1"/>
    <xf numFmtId="0" fontId="18" fillId="0" borderId="0" xfId="2" applyNumberFormat="1" applyFont="1" applyBorder="1"/>
    <xf numFmtId="164" fontId="18" fillId="0" borderId="0" xfId="1" applyNumberFormat="1" applyFont="1" applyBorder="1"/>
    <xf numFmtId="1" fontId="18" fillId="0" borderId="0" xfId="1" applyNumberFormat="1" applyFont="1" applyBorder="1"/>
    <xf numFmtId="164" fontId="18" fillId="0" borderId="21" xfId="1" applyNumberFormat="1" applyFont="1" applyBorder="1"/>
    <xf numFmtId="165" fontId="27" fillId="0" borderId="18" xfId="2" applyNumberFormat="1" applyFont="1" applyBorder="1" applyAlignment="1">
      <alignment horizontal="right"/>
    </xf>
    <xf numFmtId="164" fontId="27" fillId="0" borderId="18" xfId="1" applyNumberFormat="1" applyFont="1" applyBorder="1"/>
    <xf numFmtId="1" fontId="27" fillId="0" borderId="18" xfId="1" applyNumberFormat="1" applyFont="1" applyBorder="1"/>
    <xf numFmtId="1" fontId="27" fillId="0" borderId="18" xfId="1" applyNumberFormat="1" applyFont="1" applyBorder="1" applyAlignment="1">
      <alignment horizontal="right"/>
    </xf>
    <xf numFmtId="164" fontId="27" fillId="0" borderId="19" xfId="1" applyNumberFormat="1" applyFont="1" applyBorder="1"/>
    <xf numFmtId="0" fontId="18" fillId="0" borderId="0" xfId="0" applyNumberFormat="1" applyFont="1"/>
    <xf numFmtId="164" fontId="18" fillId="0" borderId="0" xfId="1" applyNumberFormat="1" applyFont="1"/>
    <xf numFmtId="1" fontId="18" fillId="0" borderId="0" xfId="1" applyNumberFormat="1" applyFont="1"/>
    <xf numFmtId="164" fontId="18" fillId="0" borderId="0" xfId="1" applyNumberFormat="1" applyFont="1" applyFill="1"/>
    <xf numFmtId="1" fontId="19" fillId="0" borderId="13" xfId="1" applyNumberFormat="1" applyFont="1" applyBorder="1"/>
    <xf numFmtId="164" fontId="19" fillId="0" borderId="13" xfId="1" applyNumberFormat="1" applyFont="1" applyBorder="1" applyAlignment="1">
      <alignment horizontal="right"/>
    </xf>
    <xf numFmtId="164" fontId="19" fillId="0" borderId="22" xfId="1" applyNumberFormat="1" applyFont="1" applyBorder="1"/>
    <xf numFmtId="3" fontId="25" fillId="0" borderId="12" xfId="1" applyNumberFormat="1" applyFont="1" applyBorder="1"/>
    <xf numFmtId="3" fontId="25" fillId="0" borderId="21" xfId="1" applyNumberFormat="1" applyFont="1" applyBorder="1"/>
    <xf numFmtId="3" fontId="25" fillId="0" borderId="29" xfId="1" applyNumberFormat="1" applyFont="1" applyBorder="1"/>
    <xf numFmtId="3" fontId="25" fillId="0" borderId="39" xfId="1" applyNumberFormat="1" applyFont="1" applyBorder="1"/>
    <xf numFmtId="3" fontId="25" fillId="0" borderId="40" xfId="1" applyNumberFormat="1" applyFont="1" applyBorder="1"/>
    <xf numFmtId="0" fontId="24" fillId="0" borderId="10" xfId="0" applyFont="1" applyBorder="1"/>
    <xf numFmtId="0" fontId="24" fillId="0" borderId="11" xfId="0" applyFont="1" applyBorder="1"/>
    <xf numFmtId="2" fontId="24" fillId="0" borderId="11" xfId="0" applyNumberFormat="1" applyFont="1" applyBorder="1"/>
    <xf numFmtId="0" fontId="30" fillId="0" borderId="0" xfId="0" applyFont="1"/>
    <xf numFmtId="0" fontId="31" fillId="0" borderId="0" xfId="0" applyFont="1" applyFill="1"/>
    <xf numFmtId="0" fontId="24" fillId="0" borderId="0" xfId="0" applyFont="1" applyFill="1" applyBorder="1"/>
    <xf numFmtId="2" fontId="24" fillId="0" borderId="0" xfId="0" applyNumberFormat="1" applyFont="1" applyFill="1" applyBorder="1"/>
    <xf numFmtId="0" fontId="24" fillId="0" borderId="12" xfId="0" applyFont="1" applyFill="1" applyBorder="1"/>
    <xf numFmtId="166" fontId="24" fillId="0" borderId="0" xfId="3" applyNumberFormat="1" applyFont="1" applyFill="1" applyBorder="1"/>
    <xf numFmtId="0" fontId="22" fillId="0" borderId="41" xfId="0" applyFont="1" applyFill="1" applyBorder="1"/>
    <xf numFmtId="2" fontId="22" fillId="0" borderId="15" xfId="0" applyNumberFormat="1" applyFont="1" applyFill="1" applyBorder="1" applyAlignment="1">
      <alignment horizontal="center"/>
    </xf>
    <xf numFmtId="166" fontId="22" fillId="0" borderId="16" xfId="3" applyNumberFormat="1" applyFont="1" applyFill="1" applyBorder="1" applyAlignment="1">
      <alignment horizontal="center"/>
    </xf>
    <xf numFmtId="0" fontId="22" fillId="0" borderId="42" xfId="0" applyFont="1" applyFill="1" applyBorder="1"/>
    <xf numFmtId="2" fontId="22" fillId="0" borderId="21" xfId="0" applyNumberFormat="1" applyFont="1" applyFill="1" applyBorder="1" applyAlignment="1">
      <alignment horizontal="center"/>
    </xf>
    <xf numFmtId="1" fontId="22" fillId="0" borderId="21" xfId="0" applyNumberFormat="1" applyFont="1" applyFill="1" applyBorder="1" applyAlignment="1">
      <alignment horizontal="center"/>
    </xf>
    <xf numFmtId="166" fontId="22" fillId="0" borderId="20" xfId="3" applyNumberFormat="1" applyFont="1" applyFill="1" applyBorder="1" applyAlignment="1">
      <alignment horizontal="center"/>
    </xf>
    <xf numFmtId="0" fontId="22" fillId="0" borderId="43" xfId="0" applyFont="1" applyFill="1" applyBorder="1"/>
    <xf numFmtId="2" fontId="22" fillId="0" borderId="22" xfId="0" applyNumberFormat="1" applyFont="1" applyFill="1" applyBorder="1" applyAlignment="1">
      <alignment horizontal="center"/>
    </xf>
    <xf numFmtId="166" fontId="22" fillId="0" borderId="24" xfId="3" applyNumberFormat="1" applyFont="1" applyFill="1" applyBorder="1" applyAlignment="1">
      <alignment horizontal="center"/>
    </xf>
    <xf numFmtId="2" fontId="24" fillId="0" borderId="26" xfId="2" applyNumberFormat="1" applyFont="1" applyFill="1" applyBorder="1" applyAlignment="1">
      <alignment horizontal="center"/>
    </xf>
    <xf numFmtId="2" fontId="24" fillId="0" borderId="26" xfId="3" applyNumberFormat="1" applyFont="1" applyFill="1" applyBorder="1" applyAlignment="1">
      <alignment horizontal="center"/>
    </xf>
    <xf numFmtId="166" fontId="24" fillId="0" borderId="27" xfId="3" applyNumberFormat="1" applyFont="1" applyFill="1" applyBorder="1" applyAlignment="1">
      <alignment horizontal="center"/>
    </xf>
    <xf numFmtId="2" fontId="24" fillId="0" borderId="0" xfId="2" applyNumberFormat="1" applyFont="1" applyBorder="1"/>
    <xf numFmtId="1" fontId="24" fillId="0" borderId="0" xfId="2" applyNumberFormat="1" applyFont="1" applyBorder="1"/>
    <xf numFmtId="2" fontId="19" fillId="0" borderId="33" xfId="2" applyNumberFormat="1" applyFont="1" applyBorder="1"/>
    <xf numFmtId="2" fontId="24" fillId="0" borderId="13" xfId="2" applyNumberFormat="1" applyFont="1" applyBorder="1"/>
    <xf numFmtId="2" fontId="24" fillId="0" borderId="13" xfId="3" applyNumberFormat="1" applyFont="1" applyBorder="1"/>
    <xf numFmtId="166" fontId="24" fillId="0" borderId="22" xfId="3" applyNumberFormat="1" applyFont="1" applyBorder="1"/>
    <xf numFmtId="2" fontId="24" fillId="0" borderId="0" xfId="3" applyNumberFormat="1" applyFont="1" applyBorder="1"/>
    <xf numFmtId="2" fontId="19" fillId="0" borderId="30" xfId="2" applyNumberFormat="1" applyFont="1" applyBorder="1"/>
    <xf numFmtId="9" fontId="19" fillId="0" borderId="31" xfId="3" applyNumberFormat="1" applyFont="1" applyBorder="1"/>
    <xf numFmtId="9" fontId="19" fillId="0" borderId="31" xfId="3" applyFont="1" applyBorder="1"/>
    <xf numFmtId="0" fontId="24" fillId="0" borderId="11" xfId="0" applyFont="1" applyFill="1" applyBorder="1"/>
    <xf numFmtId="166" fontId="24" fillId="0" borderId="21" xfId="3" applyNumberFormat="1" applyFont="1" applyBorder="1"/>
    <xf numFmtId="2" fontId="27" fillId="0" borderId="18" xfId="2" applyNumberFormat="1" applyFont="1" applyBorder="1"/>
    <xf numFmtId="0" fontId="24" fillId="0" borderId="0" xfId="0" applyFont="1"/>
    <xf numFmtId="2" fontId="24" fillId="0" borderId="0" xfId="0" applyNumberFormat="1" applyFont="1"/>
    <xf numFmtId="166" fontId="24" fillId="0" borderId="0" xfId="3" applyNumberFormat="1" applyFont="1" applyFill="1"/>
    <xf numFmtId="2" fontId="30" fillId="0" borderId="0" xfId="0" applyNumberFormat="1" applyFont="1"/>
    <xf numFmtId="166" fontId="30" fillId="0" borderId="0" xfId="3" applyNumberFormat="1" applyFont="1"/>
    <xf numFmtId="2" fontId="19" fillId="0" borderId="13" xfId="2" applyNumberFormat="1" applyFont="1" applyBorder="1"/>
    <xf numFmtId="9" fontId="25" fillId="0" borderId="21" xfId="3" applyFont="1" applyBorder="1"/>
    <xf numFmtId="9" fontId="25" fillId="0" borderId="40" xfId="3" applyFont="1" applyBorder="1"/>
    <xf numFmtId="4" fontId="25" fillId="0" borderId="0" xfId="1" applyNumberFormat="1" applyFont="1" applyBorder="1"/>
    <xf numFmtId="0" fontId="21" fillId="0" borderId="10" xfId="0" applyFont="1" applyBorder="1"/>
    <xf numFmtId="0" fontId="21" fillId="0" borderId="11" xfId="0" applyFont="1" applyBorder="1"/>
    <xf numFmtId="167" fontId="21" fillId="0" borderId="11" xfId="2" applyNumberFormat="1" applyFont="1" applyBorder="1"/>
    <xf numFmtId="4" fontId="21" fillId="0" borderId="11" xfId="0" applyNumberFormat="1" applyFont="1" applyBorder="1"/>
    <xf numFmtId="1" fontId="21" fillId="0" borderId="11" xfId="0" applyNumberFormat="1" applyFont="1" applyBorder="1"/>
    <xf numFmtId="44" fontId="21" fillId="0" borderId="11" xfId="2" applyNumberFormat="1" applyFont="1" applyBorder="1"/>
    <xf numFmtId="44" fontId="0" fillId="0" borderId="0" xfId="2" applyNumberFormat="1" applyFont="1" applyBorder="1"/>
    <xf numFmtId="167" fontId="21" fillId="0" borderId="0" xfId="2" applyNumberFormat="1" applyFont="1" applyFill="1" applyBorder="1"/>
    <xf numFmtId="4" fontId="21" fillId="0" borderId="0" xfId="0" applyNumberFormat="1" applyFont="1" applyFill="1" applyBorder="1"/>
    <xf numFmtId="1" fontId="21" fillId="0" borderId="0" xfId="0" applyNumberFormat="1" applyFont="1" applyFill="1" applyBorder="1"/>
    <xf numFmtId="44" fontId="21" fillId="0" borderId="0" xfId="2" applyNumberFormat="1" applyFont="1" applyFill="1" applyBorder="1"/>
    <xf numFmtId="0" fontId="21" fillId="0" borderId="12" xfId="0" applyFont="1" applyFill="1" applyBorder="1"/>
    <xf numFmtId="167" fontId="22" fillId="0" borderId="16" xfId="2" applyNumberFormat="1" applyFont="1" applyFill="1" applyBorder="1" applyAlignment="1">
      <alignment horizontal="center"/>
    </xf>
    <xf numFmtId="0" fontId="32" fillId="0" borderId="0" xfId="0" applyFont="1"/>
    <xf numFmtId="167" fontId="22" fillId="0" borderId="44" xfId="2" applyNumberFormat="1" applyFont="1" applyFill="1" applyBorder="1"/>
    <xf numFmtId="0" fontId="22" fillId="0" borderId="38" xfId="0" applyFont="1" applyFill="1" applyBorder="1" applyAlignment="1">
      <alignment horizontal="center"/>
    </xf>
    <xf numFmtId="1" fontId="22" fillId="0" borderId="44" xfId="1" applyNumberFormat="1" applyFont="1" applyFill="1" applyBorder="1" applyAlignment="1">
      <alignment horizontal="center"/>
    </xf>
    <xf numFmtId="167" fontId="22" fillId="0" borderId="20" xfId="2" applyNumberFormat="1" applyFont="1" applyFill="1" applyBorder="1" applyAlignment="1">
      <alignment horizontal="center"/>
    </xf>
    <xf numFmtId="167" fontId="22" fillId="0" borderId="22" xfId="2" applyNumberFormat="1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44" fontId="22" fillId="0" borderId="22" xfId="2" applyNumberFormat="1" applyFont="1" applyFill="1" applyBorder="1" applyAlignment="1">
      <alignment horizontal="center"/>
    </xf>
    <xf numFmtId="167" fontId="24" fillId="0" borderId="26" xfId="2" applyNumberFormat="1" applyFont="1" applyFill="1" applyBorder="1" applyAlignment="1">
      <alignment horizontal="center"/>
    </xf>
    <xf numFmtId="44" fontId="24" fillId="0" borderId="26" xfId="2" applyFont="1" applyFill="1" applyBorder="1" applyAlignment="1">
      <alignment horizontal="center"/>
    </xf>
    <xf numFmtId="1" fontId="24" fillId="0" borderId="26" xfId="2" applyNumberFormat="1" applyFont="1" applyFill="1" applyBorder="1" applyAlignment="1">
      <alignment horizontal="center"/>
    </xf>
    <xf numFmtId="44" fontId="24" fillId="0" borderId="26" xfId="2" applyNumberFormat="1" applyFont="1" applyFill="1" applyBorder="1" applyAlignment="1">
      <alignment horizontal="center"/>
    </xf>
    <xf numFmtId="44" fontId="24" fillId="0" borderId="27" xfId="2" applyNumberFormat="1" applyFont="1" applyFill="1" applyBorder="1" applyAlignment="1">
      <alignment horizontal="center"/>
    </xf>
    <xf numFmtId="167" fontId="24" fillId="0" borderId="27" xfId="2" applyNumberFormat="1" applyFont="1" applyFill="1" applyBorder="1" applyAlignment="1">
      <alignment horizontal="center"/>
    </xf>
    <xf numFmtId="44" fontId="24" fillId="0" borderId="0" xfId="2" applyNumberFormat="1" applyFont="1" applyBorder="1"/>
    <xf numFmtId="44" fontId="24" fillId="0" borderId="21" xfId="2" applyNumberFormat="1" applyFont="1" applyBorder="1"/>
    <xf numFmtId="44" fontId="19" fillId="0" borderId="33" xfId="2" applyFont="1" applyBorder="1"/>
    <xf numFmtId="1" fontId="19" fillId="0" borderId="33" xfId="2" applyNumberFormat="1" applyFont="1" applyBorder="1"/>
    <xf numFmtId="44" fontId="19" fillId="0" borderId="33" xfId="2" applyNumberFormat="1" applyFont="1" applyBorder="1"/>
    <xf numFmtId="44" fontId="19" fillId="0" borderId="31" xfId="2" applyNumberFormat="1" applyFont="1" applyBorder="1"/>
    <xf numFmtId="167" fontId="24" fillId="0" borderId="26" xfId="2" applyNumberFormat="1" applyFont="1" applyBorder="1"/>
    <xf numFmtId="44" fontId="24" fillId="0" borderId="26" xfId="2" applyFont="1" applyBorder="1"/>
    <xf numFmtId="1" fontId="24" fillId="0" borderId="26" xfId="2" applyNumberFormat="1" applyFont="1" applyBorder="1"/>
    <xf numFmtId="44" fontId="24" fillId="0" borderId="26" xfId="2" applyNumberFormat="1" applyFont="1" applyBorder="1"/>
    <xf numFmtId="44" fontId="24" fillId="0" borderId="27" xfId="2" applyNumberFormat="1" applyFont="1" applyBorder="1"/>
    <xf numFmtId="167" fontId="24" fillId="0" borderId="27" xfId="2" applyNumberFormat="1" applyFont="1" applyBorder="1"/>
    <xf numFmtId="167" fontId="19" fillId="0" borderId="30" xfId="2" applyNumberFormat="1" applyFont="1" applyBorder="1"/>
    <xf numFmtId="167" fontId="19" fillId="0" borderId="34" xfId="2" applyNumberFormat="1" applyFont="1" applyBorder="1"/>
    <xf numFmtId="44" fontId="19" fillId="0" borderId="36" xfId="2" applyFont="1" applyBorder="1"/>
    <xf numFmtId="1" fontId="19" fillId="0" borderId="36" xfId="2" applyNumberFormat="1" applyFont="1" applyBorder="1"/>
    <xf numFmtId="167" fontId="19" fillId="0" borderId="36" xfId="2" applyNumberFormat="1" applyFont="1" applyBorder="1"/>
    <xf numFmtId="167" fontId="19" fillId="0" borderId="35" xfId="2" applyNumberFormat="1" applyFont="1" applyBorder="1"/>
    <xf numFmtId="167" fontId="18" fillId="0" borderId="0" xfId="2" applyNumberFormat="1" applyFont="1" applyBorder="1"/>
    <xf numFmtId="44" fontId="18" fillId="0" borderId="0" xfId="2" applyFont="1" applyBorder="1"/>
    <xf numFmtId="1" fontId="18" fillId="0" borderId="0" xfId="2" applyNumberFormat="1" applyFont="1" applyBorder="1"/>
    <xf numFmtId="44" fontId="18" fillId="0" borderId="0" xfId="2" applyNumberFormat="1" applyFont="1" applyBorder="1"/>
    <xf numFmtId="44" fontId="18" fillId="0" borderId="21" xfId="2" applyNumberFormat="1" applyFont="1" applyBorder="1"/>
    <xf numFmtId="167" fontId="18" fillId="0" borderId="21" xfId="2" applyNumberFormat="1" applyFont="1" applyBorder="1"/>
    <xf numFmtId="167" fontId="19" fillId="0" borderId="18" xfId="2" applyNumberFormat="1" applyFont="1" applyBorder="1"/>
    <xf numFmtId="1" fontId="19" fillId="0" borderId="18" xfId="2" applyNumberFormat="1" applyFont="1" applyBorder="1"/>
    <xf numFmtId="44" fontId="19" fillId="0" borderId="18" xfId="2" applyNumberFormat="1" applyFont="1" applyBorder="1"/>
    <xf numFmtId="167" fontId="19" fillId="0" borderId="19" xfId="2" applyNumberFormat="1" applyFont="1" applyBorder="1"/>
    <xf numFmtId="167" fontId="0" fillId="0" borderId="0" xfId="2" applyNumberFormat="1" applyFont="1"/>
    <xf numFmtId="1" fontId="0" fillId="0" borderId="0" xfId="0" applyNumberFormat="1"/>
    <xf numFmtId="44" fontId="0" fillId="0" borderId="0" xfId="2" applyNumberFormat="1" applyFont="1"/>
    <xf numFmtId="0" fontId="19" fillId="0" borderId="33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44" fontId="21" fillId="0" borderId="0" xfId="2" applyNumberFormat="1" applyFont="1" applyBorder="1"/>
    <xf numFmtId="1" fontId="22" fillId="0" borderId="20" xfId="1" applyNumberFormat="1" applyFont="1" applyFill="1" applyBorder="1" applyAlignment="1">
      <alignment horizontal="center"/>
    </xf>
    <xf numFmtId="4" fontId="22" fillId="0" borderId="29" xfId="0" applyNumberFormat="1" applyFont="1" applyFill="1" applyBorder="1" applyAlignment="1">
      <alignment horizontal="center"/>
    </xf>
    <xf numFmtId="1" fontId="21" fillId="0" borderId="13" xfId="0" applyNumberFormat="1" applyFont="1" applyFill="1" applyBorder="1"/>
    <xf numFmtId="44" fontId="24" fillId="0" borderId="40" xfId="2" applyNumberFormat="1" applyFont="1" applyBorder="1"/>
    <xf numFmtId="1" fontId="19" fillId="0" borderId="13" xfId="2" applyNumberFormat="1" applyFont="1" applyBorder="1"/>
    <xf numFmtId="168" fontId="24" fillId="0" borderId="0" xfId="2" applyNumberFormat="1" applyFont="1" applyBorder="1"/>
    <xf numFmtId="168" fontId="24" fillId="0" borderId="21" xfId="2" applyNumberFormat="1" applyFont="1" applyBorder="1"/>
    <xf numFmtId="44" fontId="24" fillId="0" borderId="12" xfId="2" applyNumberFormat="1" applyFont="1" applyBorder="1"/>
    <xf numFmtId="44" fontId="24" fillId="0" borderId="29" xfId="2" applyNumberFormat="1" applyFont="1" applyBorder="1"/>
    <xf numFmtId="44" fontId="19" fillId="0" borderId="13" xfId="2" applyNumberFormat="1" applyFont="1" applyBorder="1"/>
    <xf numFmtId="44" fontId="19" fillId="0" borderId="22" xfId="2" applyNumberFormat="1" applyFont="1" applyBorder="1"/>
    <xf numFmtId="44" fontId="24" fillId="0" borderId="39" xfId="2" applyNumberFormat="1" applyFont="1" applyBorder="1"/>
    <xf numFmtId="167" fontId="24" fillId="0" borderId="25" xfId="2" applyNumberFormat="1" applyFont="1" applyFill="1" applyBorder="1" applyAlignment="1">
      <alignment horizontal="center"/>
    </xf>
    <xf numFmtId="44" fontId="19" fillId="0" borderId="13" xfId="2" applyFont="1" applyBorder="1"/>
    <xf numFmtId="0" fontId="20" fillId="0" borderId="0" xfId="0" applyFont="1" applyFill="1"/>
    <xf numFmtId="3" fontId="22" fillId="0" borderId="46" xfId="0" applyNumberFormat="1" applyFont="1" applyFill="1" applyBorder="1"/>
    <xf numFmtId="3" fontId="22" fillId="0" borderId="14" xfId="0" applyNumberFormat="1" applyFont="1" applyFill="1" applyBorder="1"/>
    <xf numFmtId="3" fontId="22" fillId="0" borderId="15" xfId="0" applyNumberFormat="1" applyFont="1" applyFill="1" applyBorder="1"/>
    <xf numFmtId="3" fontId="22" fillId="0" borderId="16" xfId="0" applyNumberFormat="1" applyFont="1" applyFill="1" applyBorder="1"/>
    <xf numFmtId="3" fontId="22" fillId="0" borderId="15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Continuous"/>
    </xf>
    <xf numFmtId="3" fontId="22" fillId="0" borderId="0" xfId="0" applyNumberFormat="1" applyFont="1" applyFill="1" applyBorder="1" applyAlignment="1">
      <alignment horizontal="centerContinuous"/>
    </xf>
    <xf numFmtId="3" fontId="22" fillId="0" borderId="21" xfId="0" applyNumberFormat="1" applyFont="1" applyFill="1" applyBorder="1" applyAlignment="1">
      <alignment horizontal="centerContinuous"/>
    </xf>
    <xf numFmtId="3" fontId="22" fillId="0" borderId="2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0" fontId="22" fillId="0" borderId="47" xfId="0" applyFont="1" applyFill="1" applyBorder="1"/>
    <xf numFmtId="0" fontId="22" fillId="0" borderId="11" xfId="0" applyFont="1" applyFill="1" applyBorder="1"/>
    <xf numFmtId="3" fontId="22" fillId="0" borderId="10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wrapText="1"/>
    </xf>
    <xf numFmtId="3" fontId="22" fillId="0" borderId="21" xfId="0" applyNumberFormat="1" applyFont="1" applyFill="1" applyBorder="1" applyAlignment="1">
      <alignment horizontal="center" wrapText="1"/>
    </xf>
    <xf numFmtId="166" fontId="24" fillId="0" borderId="26" xfId="3" applyNumberFormat="1" applyFont="1" applyFill="1" applyBorder="1" applyAlignment="1">
      <alignment horizontal="center"/>
    </xf>
    <xf numFmtId="0" fontId="30" fillId="0" borderId="26" xfId="0" applyFont="1" applyBorder="1"/>
    <xf numFmtId="0" fontId="30" fillId="0" borderId="27" xfId="0" applyFont="1" applyBorder="1"/>
    <xf numFmtId="169" fontId="24" fillId="0" borderId="0" xfId="2" applyNumberFormat="1" applyFont="1" applyBorder="1"/>
    <xf numFmtId="169" fontId="24" fillId="0" borderId="15" xfId="2" applyNumberFormat="1" applyFont="1" applyBorder="1"/>
    <xf numFmtId="169" fontId="24" fillId="0" borderId="21" xfId="2" applyNumberFormat="1" applyFont="1" applyBorder="1"/>
    <xf numFmtId="0" fontId="19" fillId="0" borderId="33" xfId="0" applyFont="1" applyFill="1" applyBorder="1" applyAlignment="1">
      <alignment horizontal="center"/>
    </xf>
    <xf numFmtId="169" fontId="19" fillId="0" borderId="30" xfId="2" applyNumberFormat="1" applyFont="1" applyBorder="1"/>
    <xf numFmtId="169" fontId="19" fillId="0" borderId="33" xfId="2" applyNumberFormat="1" applyFont="1" applyBorder="1"/>
    <xf numFmtId="169" fontId="19" fillId="0" borderId="31" xfId="2" applyNumberFormat="1" applyFont="1" applyBorder="1"/>
    <xf numFmtId="44" fontId="24" fillId="0" borderId="13" xfId="2" applyFont="1" applyBorder="1"/>
    <xf numFmtId="166" fontId="24" fillId="0" borderId="13" xfId="3" applyNumberFormat="1" applyFont="1" applyBorder="1"/>
    <xf numFmtId="0" fontId="24" fillId="0" borderId="13" xfId="0" applyFont="1" applyBorder="1"/>
    <xf numFmtId="0" fontId="24" fillId="0" borderId="22" xfId="0" applyFont="1" applyBorder="1"/>
    <xf numFmtId="0" fontId="24" fillId="0" borderId="37" xfId="0" applyFont="1" applyFill="1" applyBorder="1"/>
    <xf numFmtId="169" fontId="19" fillId="0" borderId="34" xfId="2" applyNumberFormat="1" applyFont="1" applyBorder="1"/>
    <xf numFmtId="169" fontId="19" fillId="0" borderId="36" xfId="2" applyNumberFormat="1" applyFont="1" applyBorder="1"/>
    <xf numFmtId="169" fontId="19" fillId="0" borderId="35" xfId="2" applyNumberFormat="1" applyFont="1" applyBorder="1"/>
    <xf numFmtId="169" fontId="19" fillId="0" borderId="17" xfId="2" applyNumberFormat="1" applyFont="1" applyBorder="1"/>
    <xf numFmtId="169" fontId="19" fillId="0" borderId="18" xfId="2" applyNumberFormat="1" applyFont="1" applyBorder="1"/>
    <xf numFmtId="169" fontId="19" fillId="0" borderId="19" xfId="2" applyNumberFormat="1" applyFont="1" applyBorder="1"/>
    <xf numFmtId="0" fontId="22" fillId="0" borderId="0" xfId="0" applyFont="1" applyFill="1" applyBorder="1"/>
    <xf numFmtId="44" fontId="24" fillId="0" borderId="0" xfId="2" applyFont="1" applyBorder="1"/>
    <xf numFmtId="166" fontId="24" fillId="0" borderId="0" xfId="3" applyNumberFormat="1" applyFont="1" applyBorder="1"/>
    <xf numFmtId="166" fontId="21" fillId="0" borderId="13" xfId="3" applyNumberFormat="1" applyFont="1" applyFill="1" applyBorder="1"/>
    <xf numFmtId="0" fontId="22" fillId="0" borderId="46" xfId="0" applyFont="1" applyFill="1" applyBorder="1"/>
    <xf numFmtId="44" fontId="22" fillId="0" borderId="16" xfId="2" applyFont="1" applyFill="1" applyBorder="1" applyAlignment="1">
      <alignment horizontal="center"/>
    </xf>
    <xf numFmtId="44" fontId="22" fillId="0" borderId="14" xfId="2" applyFont="1" applyFill="1" applyBorder="1"/>
    <xf numFmtId="166" fontId="22" fillId="0" borderId="14" xfId="3" applyNumberFormat="1" applyFont="1" applyFill="1" applyBorder="1"/>
    <xf numFmtId="166" fontId="22" fillId="0" borderId="15" xfId="3" applyNumberFormat="1" applyFont="1" applyFill="1" applyBorder="1"/>
    <xf numFmtId="0" fontId="33" fillId="0" borderId="0" xfId="0" applyFont="1"/>
    <xf numFmtId="0" fontId="22" fillId="0" borderId="12" xfId="0" applyFont="1" applyFill="1" applyBorder="1"/>
    <xf numFmtId="44" fontId="22" fillId="0" borderId="20" xfId="2" applyFont="1" applyFill="1" applyBorder="1" applyAlignment="1">
      <alignment horizontal="center"/>
    </xf>
    <xf numFmtId="44" fontId="22" fillId="0" borderId="0" xfId="2" applyFont="1" applyFill="1" applyBorder="1" applyAlignment="1">
      <alignment horizontal="center"/>
    </xf>
    <xf numFmtId="166" fontId="22" fillId="0" borderId="39" xfId="3" applyNumberFormat="1" applyFont="1" applyFill="1" applyBorder="1" applyAlignment="1">
      <alignment horizontal="centerContinuous"/>
    </xf>
    <xf numFmtId="166" fontId="22" fillId="0" borderId="0" xfId="3" applyNumberFormat="1" applyFont="1" applyFill="1" applyBorder="1" applyAlignment="1">
      <alignment horizontal="centerContinuous"/>
    </xf>
    <xf numFmtId="166" fontId="22" fillId="0" borderId="40" xfId="3" applyNumberFormat="1" applyFont="1" applyFill="1" applyBorder="1" applyAlignment="1">
      <alignment horizontal="centerContinuous"/>
    </xf>
    <xf numFmtId="44" fontId="22" fillId="0" borderId="22" xfId="2" applyFont="1" applyFill="1" applyBorder="1" applyAlignment="1">
      <alignment horizontal="center"/>
    </xf>
    <xf numFmtId="166" fontId="22" fillId="0" borderId="22" xfId="3" applyNumberFormat="1" applyFont="1" applyFill="1" applyBorder="1" applyAlignment="1">
      <alignment horizontal="center"/>
    </xf>
    <xf numFmtId="166" fontId="22" fillId="0" borderId="23" xfId="3" applyNumberFormat="1" applyFont="1" applyFill="1" applyBorder="1" applyAlignment="1">
      <alignment horizontal="center"/>
    </xf>
    <xf numFmtId="166" fontId="19" fillId="0" borderId="33" xfId="3" applyNumberFormat="1" applyFont="1" applyBorder="1"/>
    <xf numFmtId="166" fontId="19" fillId="0" borderId="31" xfId="3" applyNumberFormat="1" applyFont="1" applyBorder="1"/>
    <xf numFmtId="0" fontId="34" fillId="0" borderId="0" xfId="0" applyFont="1"/>
    <xf numFmtId="0" fontId="35" fillId="0" borderId="0" xfId="0" applyFont="1"/>
    <xf numFmtId="166" fontId="24" fillId="0" borderId="26" xfId="3" applyNumberFormat="1" applyFont="1" applyBorder="1"/>
    <xf numFmtId="166" fontId="24" fillId="0" borderId="27" xfId="3" applyNumberFormat="1" applyFont="1" applyBorder="1"/>
    <xf numFmtId="44" fontId="19" fillId="0" borderId="30" xfId="2" applyFont="1" applyBorder="1"/>
    <xf numFmtId="44" fontId="19" fillId="0" borderId="34" xfId="2" applyFont="1" applyBorder="1"/>
    <xf numFmtId="166" fontId="19" fillId="0" borderId="36" xfId="3" applyNumberFormat="1" applyFont="1" applyBorder="1"/>
    <xf numFmtId="166" fontId="19" fillId="0" borderId="35" xfId="3" applyNumberFormat="1" applyFont="1" applyBorder="1"/>
    <xf numFmtId="166" fontId="18" fillId="0" borderId="0" xfId="3" applyNumberFormat="1" applyFont="1" applyBorder="1"/>
    <xf numFmtId="166" fontId="18" fillId="0" borderId="21" xfId="3" applyNumberFormat="1" applyFont="1" applyBorder="1"/>
    <xf numFmtId="44" fontId="19" fillId="0" borderId="18" xfId="2" applyFont="1" applyBorder="1"/>
    <xf numFmtId="9" fontId="19" fillId="0" borderId="18" xfId="3" applyFont="1" applyBorder="1"/>
    <xf numFmtId="9" fontId="19" fillId="0" borderId="19" xfId="3" applyFont="1" applyBorder="1"/>
    <xf numFmtId="0" fontId="19" fillId="0" borderId="0" xfId="0" applyFont="1"/>
    <xf numFmtId="0" fontId="18" fillId="0" borderId="0" xfId="0" applyFont="1" applyFill="1"/>
    <xf numFmtId="44" fontId="18" fillId="0" borderId="0" xfId="2" applyFont="1"/>
    <xf numFmtId="166" fontId="18" fillId="0" borderId="0" xfId="3" applyNumberFormat="1" applyFont="1"/>
    <xf numFmtId="0" fontId="21" fillId="0" borderId="0" xfId="0" applyFont="1"/>
    <xf numFmtId="44" fontId="0" fillId="0" borderId="0" xfId="2" applyFont="1"/>
    <xf numFmtId="166" fontId="0" fillId="0" borderId="0" xfId="3" applyNumberFormat="1" applyFont="1"/>
    <xf numFmtId="3" fontId="24" fillId="0" borderId="11" xfId="0" applyNumberFormat="1" applyFont="1" applyBorder="1"/>
    <xf numFmtId="9" fontId="24" fillId="0" borderId="11" xfId="3" applyFont="1" applyBorder="1"/>
    <xf numFmtId="44" fontId="24" fillId="0" borderId="11" xfId="2" applyFont="1" applyBorder="1"/>
    <xf numFmtId="3" fontId="30" fillId="0" borderId="0" xfId="0" applyNumberFormat="1" applyFont="1"/>
    <xf numFmtId="44" fontId="30" fillId="0" borderId="0" xfId="2" applyFont="1"/>
    <xf numFmtId="167" fontId="30" fillId="0" borderId="0" xfId="2" applyNumberFormat="1" applyFont="1"/>
    <xf numFmtId="3" fontId="24" fillId="0" borderId="0" xfId="0" applyNumberFormat="1" applyFont="1" applyFill="1" applyBorder="1"/>
    <xf numFmtId="9" fontId="24" fillId="0" borderId="0" xfId="3" applyFont="1" applyFill="1" applyBorder="1"/>
    <xf numFmtId="44" fontId="24" fillId="0" borderId="0" xfId="2" applyFont="1" applyFill="1" applyBorder="1"/>
    <xf numFmtId="0" fontId="22" fillId="0" borderId="41" xfId="0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9" fontId="22" fillId="0" borderId="15" xfId="3" applyFont="1" applyFill="1" applyBorder="1" applyAlignment="1">
      <alignment horizontal="center"/>
    </xf>
    <xf numFmtId="44" fontId="22" fillId="0" borderId="15" xfId="2" applyFont="1" applyFill="1" applyBorder="1" applyAlignment="1">
      <alignment horizontal="center"/>
    </xf>
    <xf numFmtId="166" fontId="22" fillId="0" borderId="15" xfId="3" applyNumberFormat="1" applyFont="1" applyFill="1" applyBorder="1" applyAlignment="1">
      <alignment horizontal="center" wrapText="1"/>
    </xf>
    <xf numFmtId="167" fontId="22" fillId="0" borderId="15" xfId="2" applyNumberFormat="1" applyFont="1" applyFill="1" applyBorder="1" applyAlignment="1">
      <alignment horizontal="center"/>
    </xf>
    <xf numFmtId="166" fontId="22" fillId="0" borderId="15" xfId="3" applyNumberFormat="1" applyFont="1" applyFill="1" applyBorder="1" applyAlignment="1">
      <alignment horizontal="center"/>
    </xf>
    <xf numFmtId="0" fontId="22" fillId="0" borderId="42" xfId="0" applyFont="1" applyFill="1" applyBorder="1" applyAlignment="1">
      <alignment horizontal="center"/>
    </xf>
    <xf numFmtId="9" fontId="22" fillId="0" borderId="21" xfId="3" applyFont="1" applyFill="1" applyBorder="1" applyAlignment="1">
      <alignment horizontal="center"/>
    </xf>
    <xf numFmtId="44" fontId="22" fillId="0" borderId="21" xfId="2" applyFont="1" applyFill="1" applyBorder="1" applyAlignment="1">
      <alignment horizontal="center"/>
    </xf>
    <xf numFmtId="166" fontId="22" fillId="0" borderId="21" xfId="3" applyNumberFormat="1" applyFont="1" applyFill="1" applyBorder="1" applyAlignment="1">
      <alignment horizontal="center"/>
    </xf>
    <xf numFmtId="167" fontId="22" fillId="0" borderId="21" xfId="2" applyNumberFormat="1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 wrapText="1"/>
    </xf>
    <xf numFmtId="3" fontId="22" fillId="0" borderId="24" xfId="0" applyNumberFormat="1" applyFont="1" applyFill="1" applyBorder="1" applyAlignment="1">
      <alignment horizontal="center" wrapText="1"/>
    </xf>
    <xf numFmtId="9" fontId="22" fillId="0" borderId="22" xfId="3" applyFont="1" applyFill="1" applyBorder="1" applyAlignment="1">
      <alignment horizontal="center" wrapText="1"/>
    </xf>
    <xf numFmtId="44" fontId="22" fillId="0" borderId="22" xfId="2" applyFont="1" applyFill="1" applyBorder="1" applyAlignment="1">
      <alignment horizontal="center" wrapText="1"/>
    </xf>
    <xf numFmtId="3" fontId="22" fillId="0" borderId="22" xfId="0" applyNumberFormat="1" applyFont="1" applyFill="1" applyBorder="1" applyAlignment="1">
      <alignment horizontal="center" wrapText="1"/>
    </xf>
    <xf numFmtId="167" fontId="22" fillId="0" borderId="22" xfId="2" applyNumberFormat="1" applyFont="1" applyFill="1" applyBorder="1" applyAlignment="1">
      <alignment horizontal="center" wrapText="1"/>
    </xf>
    <xf numFmtId="166" fontId="22" fillId="0" borderId="22" xfId="3" applyNumberFormat="1" applyFont="1" applyFill="1" applyBorder="1" applyAlignment="1">
      <alignment horizontal="center" wrapText="1"/>
    </xf>
    <xf numFmtId="3" fontId="24" fillId="0" borderId="26" xfId="2" applyNumberFormat="1" applyFont="1" applyFill="1" applyBorder="1" applyAlignment="1">
      <alignment horizontal="center"/>
    </xf>
    <xf numFmtId="9" fontId="24" fillId="0" borderId="26" xfId="3" applyFont="1" applyFill="1" applyBorder="1" applyAlignment="1">
      <alignment horizontal="center"/>
    </xf>
    <xf numFmtId="3" fontId="24" fillId="0" borderId="26" xfId="0" applyNumberFormat="1" applyFont="1" applyBorder="1"/>
    <xf numFmtId="44" fontId="24" fillId="0" borderId="27" xfId="2" applyFont="1" applyBorder="1"/>
    <xf numFmtId="166" fontId="24" fillId="0" borderId="0" xfId="3" applyNumberFormat="1" applyFont="1"/>
    <xf numFmtId="44" fontId="24" fillId="0" borderId="0" xfId="2" applyFont="1"/>
    <xf numFmtId="170" fontId="24" fillId="0" borderId="0" xfId="2" applyNumberFormat="1" applyFont="1"/>
    <xf numFmtId="44" fontId="24" fillId="0" borderId="21" xfId="2" applyFont="1" applyBorder="1"/>
    <xf numFmtId="44" fontId="19" fillId="0" borderId="30" xfId="2" applyNumberFormat="1" applyFont="1" applyBorder="1"/>
    <xf numFmtId="9" fontId="19" fillId="0" borderId="33" xfId="3" applyFont="1" applyBorder="1"/>
    <xf numFmtId="4" fontId="19" fillId="0" borderId="33" xfId="2" applyNumberFormat="1" applyFont="1" applyBorder="1"/>
    <xf numFmtId="3" fontId="24" fillId="0" borderId="13" xfId="2" applyNumberFormat="1" applyFont="1" applyBorder="1"/>
    <xf numFmtId="9" fontId="24" fillId="0" borderId="13" xfId="3" applyFont="1" applyBorder="1"/>
    <xf numFmtId="3" fontId="24" fillId="0" borderId="13" xfId="0" applyNumberFormat="1" applyFont="1" applyBorder="1"/>
    <xf numFmtId="167" fontId="24" fillId="0" borderId="13" xfId="2" applyNumberFormat="1" applyFont="1" applyBorder="1"/>
    <xf numFmtId="44" fontId="24" fillId="0" borderId="22" xfId="2" applyFont="1" applyBorder="1"/>
    <xf numFmtId="3" fontId="24" fillId="0" borderId="26" xfId="2" applyNumberFormat="1" applyFont="1" applyBorder="1"/>
    <xf numFmtId="9" fontId="24" fillId="0" borderId="26" xfId="3" applyFont="1" applyBorder="1"/>
    <xf numFmtId="3" fontId="30" fillId="0" borderId="26" xfId="0" applyNumberFormat="1" applyFont="1" applyBorder="1"/>
    <xf numFmtId="166" fontId="30" fillId="0" borderId="26" xfId="3" applyNumberFormat="1" applyFont="1" applyBorder="1"/>
    <xf numFmtId="44" fontId="30" fillId="0" borderId="26" xfId="2" applyFont="1" applyBorder="1"/>
    <xf numFmtId="167" fontId="30" fillId="0" borderId="26" xfId="2" applyNumberFormat="1" applyFont="1" applyBorder="1"/>
    <xf numFmtId="44" fontId="30" fillId="0" borderId="27" xfId="2" applyFont="1" applyBorder="1"/>
    <xf numFmtId="44" fontId="19" fillId="0" borderId="29" xfId="2" applyNumberFormat="1" applyFont="1" applyBorder="1"/>
    <xf numFmtId="9" fontId="19" fillId="0" borderId="39" xfId="3" applyFont="1" applyBorder="1"/>
    <xf numFmtId="44" fontId="19" fillId="0" borderId="39" xfId="2" applyNumberFormat="1" applyFont="1" applyBorder="1"/>
    <xf numFmtId="44" fontId="19" fillId="0" borderId="40" xfId="2" applyNumberFormat="1" applyFont="1" applyBorder="1"/>
    <xf numFmtId="9" fontId="30" fillId="0" borderId="0" xfId="3" applyFont="1"/>
    <xf numFmtId="1" fontId="24" fillId="0" borderId="11" xfId="2" applyNumberFormat="1" applyFont="1" applyBorder="1"/>
    <xf numFmtId="1" fontId="30" fillId="0" borderId="0" xfId="2" applyNumberFormat="1" applyFont="1"/>
    <xf numFmtId="1" fontId="30" fillId="0" borderId="0" xfId="3" applyNumberFormat="1" applyFont="1"/>
    <xf numFmtId="1" fontId="24" fillId="0" borderId="0" xfId="2" applyNumberFormat="1" applyFont="1" applyFill="1" applyBorder="1"/>
    <xf numFmtId="1" fontId="22" fillId="0" borderId="20" xfId="0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2" fillId="0" borderId="44" xfId="0" applyNumberFormat="1" applyFont="1" applyFill="1" applyBorder="1" applyAlignment="1">
      <alignment horizontal="center"/>
    </xf>
    <xf numFmtId="1" fontId="22" fillId="0" borderId="38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/>
    </xf>
    <xf numFmtId="1" fontId="22" fillId="0" borderId="22" xfId="0" applyNumberFormat="1" applyFont="1" applyFill="1" applyBorder="1" applyAlignment="1">
      <alignment horizontal="center"/>
    </xf>
    <xf numFmtId="1" fontId="22" fillId="0" borderId="24" xfId="0" applyNumberFormat="1" applyFont="1" applyFill="1" applyBorder="1" applyAlignment="1">
      <alignment horizontal="center"/>
    </xf>
    <xf numFmtId="1" fontId="22" fillId="0" borderId="13" xfId="0" applyNumberFormat="1" applyFont="1" applyFill="1" applyBorder="1" applyAlignment="1">
      <alignment horizontal="center"/>
    </xf>
    <xf numFmtId="1" fontId="24" fillId="0" borderId="26" xfId="0" applyNumberFormat="1" applyFont="1" applyBorder="1"/>
    <xf numFmtId="1" fontId="24" fillId="0" borderId="27" xfId="0" applyNumberFormat="1" applyFont="1" applyBorder="1"/>
    <xf numFmtId="164" fontId="24" fillId="0" borderId="0" xfId="1" applyNumberFormat="1" applyFont="1" applyBorder="1"/>
    <xf numFmtId="164" fontId="24" fillId="0" borderId="0" xfId="1" applyNumberFormat="1" applyFont="1"/>
    <xf numFmtId="164" fontId="24" fillId="0" borderId="21" xfId="1" applyNumberFormat="1" applyFont="1" applyBorder="1"/>
    <xf numFmtId="164" fontId="19" fillId="0" borderId="33" xfId="1" applyNumberFormat="1" applyFont="1" applyBorder="1"/>
    <xf numFmtId="1" fontId="24" fillId="0" borderId="27" xfId="2" applyNumberFormat="1" applyFont="1" applyBorder="1"/>
    <xf numFmtId="1" fontId="30" fillId="0" borderId="0" xfId="2" applyNumberFormat="1" applyFont="1" applyBorder="1"/>
    <xf numFmtId="1" fontId="30" fillId="0" borderId="21" xfId="2" applyNumberFormat="1" applyFont="1" applyBorder="1"/>
    <xf numFmtId="164" fontId="19" fillId="0" borderId="18" xfId="1" applyNumberFormat="1" applyFont="1" applyBorder="1"/>
    <xf numFmtId="164" fontId="19" fillId="0" borderId="19" xfId="1" applyNumberFormat="1" applyFont="1" applyBorder="1"/>
    <xf numFmtId="0" fontId="22" fillId="0" borderId="18" xfId="0" applyFont="1" applyBorder="1" applyAlignment="1">
      <alignment horizontal="center"/>
    </xf>
    <xf numFmtId="164" fontId="24" fillId="0" borderId="15" xfId="1" applyNumberFormat="1" applyFont="1" applyBorder="1"/>
    <xf numFmtId="164" fontId="24" fillId="0" borderId="40" xfId="1" applyNumberFormat="1" applyFont="1" applyBorder="1"/>
    <xf numFmtId="165" fontId="18" fillId="0" borderId="0" xfId="0" applyNumberFormat="1" applyFont="1"/>
    <xf numFmtId="0" fontId="32" fillId="0" borderId="0" xfId="0" applyFont="1" applyFill="1"/>
    <xf numFmtId="166" fontId="32" fillId="0" borderId="0" xfId="3" applyNumberFormat="1" applyFont="1" applyFill="1"/>
    <xf numFmtId="165" fontId="32" fillId="0" borderId="0" xfId="0" applyNumberFormat="1" applyFont="1" applyFill="1"/>
    <xf numFmtId="166" fontId="22" fillId="0" borderId="14" xfId="3" applyNumberFormat="1" applyFont="1" applyFill="1" applyBorder="1" applyAlignment="1">
      <alignment horizontal="center"/>
    </xf>
    <xf numFmtId="165" fontId="22" fillId="0" borderId="14" xfId="0" applyNumberFormat="1" applyFont="1" applyFill="1" applyBorder="1" applyAlignment="1">
      <alignment horizontal="center"/>
    </xf>
    <xf numFmtId="165" fontId="22" fillId="0" borderId="16" xfId="0" applyNumberFormat="1" applyFont="1" applyFill="1" applyBorder="1" applyAlignment="1">
      <alignment horizontal="center"/>
    </xf>
    <xf numFmtId="165" fontId="22" fillId="0" borderId="48" xfId="0" applyNumberFormat="1" applyFont="1" applyFill="1" applyBorder="1" applyAlignment="1">
      <alignment horizontal="center"/>
    </xf>
    <xf numFmtId="166" fontId="22" fillId="0" borderId="0" xfId="3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22" fillId="0" borderId="20" xfId="0" applyNumberFormat="1" applyFont="1" applyFill="1" applyBorder="1" applyAlignment="1">
      <alignment horizontal="center"/>
    </xf>
    <xf numFmtId="165" fontId="22" fillId="0" borderId="49" xfId="0" applyNumberFormat="1" applyFont="1" applyFill="1" applyBorder="1" applyAlignment="1">
      <alignment horizontal="center"/>
    </xf>
    <xf numFmtId="166" fontId="22" fillId="0" borderId="13" xfId="3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>
      <alignment horizontal="center"/>
    </xf>
    <xf numFmtId="165" fontId="22" fillId="0" borderId="24" xfId="0" applyNumberFormat="1" applyFont="1" applyFill="1" applyBorder="1" applyAlignment="1">
      <alignment horizontal="center"/>
    </xf>
    <xf numFmtId="165" fontId="22" fillId="0" borderId="50" xfId="0" applyNumberFormat="1" applyFont="1" applyFill="1" applyBorder="1" applyAlignment="1">
      <alignment horizontal="center"/>
    </xf>
    <xf numFmtId="165" fontId="24" fillId="0" borderId="26" xfId="2" applyNumberFormat="1" applyFont="1" applyFill="1" applyBorder="1" applyAlignment="1">
      <alignment horizontal="center"/>
    </xf>
    <xf numFmtId="165" fontId="24" fillId="0" borderId="26" xfId="3" applyNumberFormat="1" applyFont="1" applyFill="1" applyBorder="1" applyAlignment="1">
      <alignment horizontal="center"/>
    </xf>
    <xf numFmtId="165" fontId="24" fillId="0" borderId="27" xfId="3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24" fillId="0" borderId="21" xfId="3" applyNumberFormat="1" applyFont="1" applyBorder="1"/>
    <xf numFmtId="166" fontId="19" fillId="0" borderId="30" xfId="3" applyNumberFormat="1" applyFont="1" applyBorder="1"/>
    <xf numFmtId="165" fontId="19" fillId="0" borderId="33" xfId="2" applyNumberFormat="1" applyFont="1" applyBorder="1"/>
    <xf numFmtId="165" fontId="19" fillId="0" borderId="31" xfId="3" applyNumberFormat="1" applyFont="1" applyBorder="1"/>
    <xf numFmtId="165" fontId="24" fillId="0" borderId="26" xfId="2" applyNumberFormat="1" applyFont="1" applyBorder="1"/>
    <xf numFmtId="165" fontId="24" fillId="0" borderId="26" xfId="3" applyNumberFormat="1" applyFont="1" applyBorder="1"/>
    <xf numFmtId="165" fontId="24" fillId="0" borderId="27" xfId="3" applyNumberFormat="1" applyFont="1" applyBorder="1"/>
    <xf numFmtId="166" fontId="0" fillId="0" borderId="0" xfId="3" applyNumberFormat="1" applyFont="1" applyBorder="1"/>
    <xf numFmtId="165" fontId="0" fillId="0" borderId="0" xfId="2" applyNumberFormat="1" applyFont="1" applyBorder="1"/>
    <xf numFmtId="165" fontId="0" fillId="0" borderId="0" xfId="3" applyNumberFormat="1" applyFont="1" applyBorder="1"/>
    <xf numFmtId="165" fontId="0" fillId="0" borderId="21" xfId="3" applyNumberFormat="1" applyFont="1" applyBorder="1"/>
    <xf numFmtId="166" fontId="19" fillId="0" borderId="18" xfId="3" applyNumberFormat="1" applyFont="1" applyBorder="1"/>
    <xf numFmtId="165" fontId="19" fillId="0" borderId="18" xfId="3" applyNumberFormat="1" applyFont="1" applyBorder="1"/>
    <xf numFmtId="165" fontId="19" fillId="0" borderId="19" xfId="3" applyNumberFormat="1" applyFont="1" applyBorder="1"/>
    <xf numFmtId="165" fontId="0" fillId="0" borderId="0" xfId="0" applyNumberFormat="1"/>
    <xf numFmtId="0" fontId="37" fillId="0" borderId="0" xfId="0" applyFont="1"/>
    <xf numFmtId="164" fontId="32" fillId="0" borderId="0" xfId="1" applyNumberFormat="1" applyFont="1" applyFill="1"/>
    <xf numFmtId="0" fontId="0" fillId="0" borderId="13" xfId="0" applyBorder="1"/>
    <xf numFmtId="164" fontId="22" fillId="0" borderId="44" xfId="1" applyNumberFormat="1" applyFont="1" applyFill="1" applyBorder="1" applyAlignment="1">
      <alignment horizontal="center"/>
    </xf>
    <xf numFmtId="164" fontId="22" fillId="0" borderId="38" xfId="1" applyNumberFormat="1" applyFont="1" applyFill="1" applyBorder="1" applyAlignment="1">
      <alignment horizontal="center"/>
    </xf>
    <xf numFmtId="164" fontId="22" fillId="0" borderId="10" xfId="1" applyNumberFormat="1" applyFont="1" applyFill="1" applyBorder="1"/>
    <xf numFmtId="164" fontId="22" fillId="0" borderId="38" xfId="1" applyNumberFormat="1" applyFont="1" applyFill="1" applyBorder="1"/>
    <xf numFmtId="164" fontId="22" fillId="0" borderId="44" xfId="1" applyNumberFormat="1" applyFont="1" applyFill="1" applyBorder="1"/>
    <xf numFmtId="164" fontId="22" fillId="0" borderId="0" xfId="1" applyNumberFormat="1" applyFont="1" applyFill="1" applyBorder="1"/>
    <xf numFmtId="164" fontId="22" fillId="0" borderId="32" xfId="1" applyNumberFormat="1" applyFont="1" applyFill="1" applyBorder="1" applyAlignment="1">
      <alignment horizontal="center"/>
    </xf>
    <xf numFmtId="164" fontId="22" fillId="0" borderId="24" xfId="1" applyNumberFormat="1" applyFont="1" applyFill="1" applyBorder="1" applyAlignment="1">
      <alignment horizontal="center"/>
    </xf>
    <xf numFmtId="164" fontId="22" fillId="0" borderId="13" xfId="1" applyNumberFormat="1" applyFont="1" applyFill="1" applyBorder="1" applyAlignment="1">
      <alignment horizontal="center"/>
    </xf>
    <xf numFmtId="1" fontId="24" fillId="0" borderId="51" xfId="3" applyNumberFormat="1" applyFont="1" applyFill="1" applyBorder="1" applyAlignment="1">
      <alignment horizontal="center"/>
    </xf>
    <xf numFmtId="164" fontId="19" fillId="0" borderId="23" xfId="1" applyNumberFormat="1" applyFont="1" applyBorder="1"/>
    <xf numFmtId="1" fontId="24" fillId="0" borderId="51" xfId="3" applyNumberFormat="1" applyFont="1" applyBorder="1"/>
    <xf numFmtId="164" fontId="24" fillId="0" borderId="20" xfId="1" applyNumberFormat="1" applyFont="1" applyBorder="1"/>
    <xf numFmtId="164" fontId="18" fillId="0" borderId="33" xfId="1" applyNumberFormat="1" applyFont="1" applyBorder="1"/>
    <xf numFmtId="1" fontId="18" fillId="0" borderId="20" xfId="3" applyNumberFormat="1" applyFont="1" applyBorder="1"/>
    <xf numFmtId="164" fontId="19" fillId="0" borderId="45" xfId="1" applyNumberFormat="1" applyFont="1" applyBorder="1"/>
    <xf numFmtId="1" fontId="19" fillId="0" borderId="0" xfId="0" applyNumberFormat="1" applyFont="1"/>
    <xf numFmtId="164" fontId="24" fillId="0" borderId="16" xfId="1" applyNumberFormat="1" applyFont="1" applyBorder="1"/>
    <xf numFmtId="164" fontId="24" fillId="0" borderId="28" xfId="1" applyNumberFormat="1" applyFont="1" applyBorder="1"/>
    <xf numFmtId="164" fontId="19" fillId="0" borderId="24" xfId="1" applyNumberFormat="1" applyFont="1" applyBorder="1"/>
    <xf numFmtId="164" fontId="24" fillId="0" borderId="12" xfId="1" applyNumberFormat="1" applyFont="1" applyBorder="1"/>
    <xf numFmtId="166" fontId="32" fillId="0" borderId="0" xfId="3" applyNumberFormat="1" applyFont="1"/>
    <xf numFmtId="2" fontId="32" fillId="0" borderId="0" xfId="3" applyNumberFormat="1" applyFont="1"/>
    <xf numFmtId="2" fontId="32" fillId="0" borderId="0" xfId="3" applyNumberFormat="1" applyFont="1" applyFill="1"/>
    <xf numFmtId="2" fontId="32" fillId="0" borderId="0" xfId="2" applyNumberFormat="1" applyFont="1" applyFill="1"/>
    <xf numFmtId="0" fontId="22" fillId="0" borderId="14" xfId="0" applyFont="1" applyFill="1" applyBorder="1" applyAlignment="1">
      <alignment horizontal="centerContinuous"/>
    </xf>
    <xf numFmtId="166" fontId="22" fillId="0" borderId="14" xfId="3" applyNumberFormat="1" applyFont="1" applyFill="1" applyBorder="1" applyAlignment="1">
      <alignment horizontal="centerContinuous"/>
    </xf>
    <xf numFmtId="2" fontId="22" fillId="0" borderId="16" xfId="3" applyNumberFormat="1" applyFont="1" applyFill="1" applyBorder="1" applyAlignment="1">
      <alignment horizontal="center"/>
    </xf>
    <xf numFmtId="2" fontId="22" fillId="0" borderId="15" xfId="3" applyNumberFormat="1" applyFont="1" applyFill="1" applyBorder="1" applyAlignment="1">
      <alignment horizontal="center"/>
    </xf>
    <xf numFmtId="2" fontId="22" fillId="0" borderId="15" xfId="2" applyNumberFormat="1" applyFont="1" applyFill="1" applyBorder="1" applyAlignment="1">
      <alignment horizontal="center"/>
    </xf>
    <xf numFmtId="166" fontId="22" fillId="0" borderId="38" xfId="3" applyNumberFormat="1" applyFont="1" applyFill="1" applyBorder="1" applyAlignment="1">
      <alignment horizontal="center"/>
    </xf>
    <xf numFmtId="2" fontId="22" fillId="0" borderId="20" xfId="3" applyNumberFormat="1" applyFont="1" applyFill="1" applyBorder="1" applyAlignment="1">
      <alignment horizontal="center"/>
    </xf>
    <xf numFmtId="2" fontId="22" fillId="0" borderId="21" xfId="3" applyNumberFormat="1" applyFont="1" applyFill="1" applyBorder="1" applyAlignment="1">
      <alignment horizontal="center"/>
    </xf>
    <xf numFmtId="2" fontId="22" fillId="0" borderId="21" xfId="2" applyNumberFormat="1" applyFont="1" applyFill="1" applyBorder="1" applyAlignment="1">
      <alignment horizontal="center"/>
    </xf>
    <xf numFmtId="2" fontId="24" fillId="0" borderId="27" xfId="3" applyNumberFormat="1" applyFont="1" applyFill="1" applyBorder="1" applyAlignment="1">
      <alignment horizontal="center"/>
    </xf>
    <xf numFmtId="172" fontId="24" fillId="0" borderId="0" xfId="3" applyNumberFormat="1" applyFont="1"/>
    <xf numFmtId="2" fontId="24" fillId="0" borderId="0" xfId="3" applyNumberFormat="1" applyFont="1"/>
    <xf numFmtId="166" fontId="0" fillId="0" borderId="0" xfId="0" applyNumberFormat="1"/>
    <xf numFmtId="172" fontId="19" fillId="0" borderId="33" xfId="3" applyNumberFormat="1" applyFont="1" applyBorder="1"/>
    <xf numFmtId="2" fontId="19" fillId="0" borderId="33" xfId="3" applyNumberFormat="1" applyFont="1" applyBorder="1"/>
    <xf numFmtId="44" fontId="19" fillId="0" borderId="31" xfId="2" applyFont="1" applyBorder="1"/>
    <xf numFmtId="172" fontId="24" fillId="0" borderId="26" xfId="3" applyNumberFormat="1" applyFont="1" applyBorder="1"/>
    <xf numFmtId="2" fontId="24" fillId="0" borderId="27" xfId="3" applyNumberFormat="1" applyFont="1" applyBorder="1"/>
    <xf numFmtId="172" fontId="18" fillId="0" borderId="0" xfId="3" applyNumberFormat="1" applyFont="1" applyBorder="1"/>
    <xf numFmtId="2" fontId="18" fillId="0" borderId="21" xfId="3" applyNumberFormat="1" applyFont="1" applyBorder="1"/>
    <xf numFmtId="173" fontId="19" fillId="0" borderId="18" xfId="1" applyNumberFormat="1" applyFont="1" applyBorder="1"/>
    <xf numFmtId="43" fontId="19" fillId="0" borderId="18" xfId="1" applyNumberFormat="1" applyFont="1" applyBorder="1"/>
    <xf numFmtId="44" fontId="19" fillId="0" borderId="19" xfId="2" applyFont="1" applyBorder="1"/>
    <xf numFmtId="0" fontId="35" fillId="0" borderId="0" xfId="0" applyFont="1" applyAlignment="1">
      <alignment horizontal="right"/>
    </xf>
    <xf numFmtId="2" fontId="19" fillId="0" borderId="0" xfId="0" applyNumberFormat="1" applyFont="1"/>
    <xf numFmtId="2" fontId="18" fillId="0" borderId="0" xfId="3" applyNumberFormat="1" applyFont="1"/>
    <xf numFmtId="2" fontId="18" fillId="0" borderId="0" xfId="2" applyNumberFormat="1" applyFont="1"/>
    <xf numFmtId="2" fontId="0" fillId="0" borderId="0" xfId="3" applyNumberFormat="1" applyFont="1"/>
    <xf numFmtId="9" fontId="24" fillId="0" borderId="0" xfId="3" applyFont="1" applyBorder="1"/>
    <xf numFmtId="2" fontId="18" fillId="0" borderId="0" xfId="0" applyNumberFormat="1" applyFont="1"/>
    <xf numFmtId="2" fontId="32" fillId="0" borderId="0" xfId="0" applyNumberFormat="1" applyFont="1" applyFill="1"/>
    <xf numFmtId="0" fontId="22" fillId="0" borderId="15" xfId="0" applyFont="1" applyFill="1" applyBorder="1" applyAlignment="1">
      <alignment horizontal="centerContinuous"/>
    </xf>
    <xf numFmtId="166" fontId="22" fillId="0" borderId="19" xfId="3" applyNumberFormat="1" applyFont="1" applyFill="1" applyBorder="1" applyAlignment="1">
      <alignment horizontal="centerContinuous"/>
    </xf>
    <xf numFmtId="0" fontId="22" fillId="0" borderId="15" xfId="0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2" fontId="22" fillId="0" borderId="16" xfId="0" applyNumberFormat="1" applyFont="1" applyFill="1" applyBorder="1" applyAlignment="1">
      <alignment horizontal="center"/>
    </xf>
    <xf numFmtId="164" fontId="22" fillId="0" borderId="46" xfId="1" applyNumberFormat="1" applyFont="1" applyFill="1" applyBorder="1" applyAlignment="1">
      <alignment horizontal="center"/>
    </xf>
    <xf numFmtId="0" fontId="22" fillId="0" borderId="38" xfId="0" applyFont="1" applyFill="1" applyBorder="1"/>
    <xf numFmtId="0" fontId="22" fillId="0" borderId="21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2" fontId="22" fillId="0" borderId="20" xfId="0" applyNumberFormat="1" applyFont="1" applyFill="1" applyBorder="1" applyAlignment="1">
      <alignment horizontal="center"/>
    </xf>
    <xf numFmtId="164" fontId="22" fillId="0" borderId="20" xfId="1" applyNumberFormat="1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2" fontId="22" fillId="0" borderId="24" xfId="0" applyNumberFormat="1" applyFont="1" applyFill="1" applyBorder="1" applyAlignment="1">
      <alignment horizontal="center"/>
    </xf>
    <xf numFmtId="171" fontId="24" fillId="0" borderId="0" xfId="1" applyNumberFormat="1" applyFont="1"/>
    <xf numFmtId="164" fontId="19" fillId="0" borderId="30" xfId="1" applyNumberFormat="1" applyFont="1" applyBorder="1"/>
    <xf numFmtId="171" fontId="19" fillId="0" borderId="33" xfId="1" applyNumberFormat="1" applyFont="1" applyBorder="1"/>
    <xf numFmtId="3" fontId="24" fillId="0" borderId="37" xfId="0" applyNumberFormat="1" applyFont="1" applyFill="1" applyBorder="1"/>
    <xf numFmtId="165" fontId="19" fillId="0" borderId="33" xfId="3" applyNumberFormat="1" applyFont="1" applyBorder="1"/>
    <xf numFmtId="171" fontId="19" fillId="0" borderId="36" xfId="1" applyNumberFormat="1" applyFont="1" applyBorder="1"/>
    <xf numFmtId="164" fontId="19" fillId="0" borderId="40" xfId="1" applyNumberFormat="1" applyFont="1" applyBorder="1"/>
    <xf numFmtId="164" fontId="0" fillId="0" borderId="21" xfId="1" applyNumberFormat="1" applyFont="1" applyBorder="1"/>
    <xf numFmtId="166" fontId="19" fillId="0" borderId="0" xfId="3" applyNumberFormat="1" applyFont="1"/>
    <xf numFmtId="164" fontId="19" fillId="0" borderId="0" xfId="1" applyNumberFormat="1" applyFont="1"/>
    <xf numFmtId="164" fontId="0" fillId="0" borderId="0" xfId="1" applyNumberFormat="1" applyFont="1"/>
    <xf numFmtId="43" fontId="24" fillId="0" borderId="0" xfId="1" applyNumberFormat="1" applyFont="1" applyBorder="1"/>
    <xf numFmtId="0" fontId="22" fillId="0" borderId="0" xfId="0" applyFont="1" applyFill="1"/>
    <xf numFmtId="2" fontId="22" fillId="0" borderId="16" xfId="0" applyNumberFormat="1" applyFont="1" applyFill="1" applyBorder="1" applyAlignment="1">
      <alignment horizontal="centerContinuous"/>
    </xf>
    <xf numFmtId="0" fontId="22" fillId="0" borderId="44" xfId="0" applyFont="1" applyFill="1" applyBorder="1"/>
    <xf numFmtId="0" fontId="22" fillId="0" borderId="44" xfId="0" applyFont="1" applyFill="1" applyBorder="1" applyAlignment="1">
      <alignment horizontal="center"/>
    </xf>
    <xf numFmtId="0" fontId="22" fillId="0" borderId="10" xfId="0" applyFont="1" applyFill="1" applyBorder="1"/>
    <xf numFmtId="0" fontId="22" fillId="0" borderId="10" xfId="0" applyFont="1" applyFill="1" applyBorder="1" applyAlignment="1">
      <alignment horizontal="center"/>
    </xf>
    <xf numFmtId="0" fontId="24" fillId="0" borderId="44" xfId="0" applyFont="1" applyFill="1" applyBorder="1"/>
    <xf numFmtId="0" fontId="24" fillId="0" borderId="10" xfId="0" applyFont="1" applyFill="1" applyBorder="1"/>
    <xf numFmtId="2" fontId="22" fillId="0" borderId="44" xfId="0" applyNumberFormat="1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43" fontId="24" fillId="0" borderId="14" xfId="1" applyNumberFormat="1" applyFont="1" applyBorder="1"/>
    <xf numFmtId="43" fontId="19" fillId="0" borderId="33" xfId="1" applyNumberFormat="1" applyFont="1" applyBorder="1"/>
    <xf numFmtId="43" fontId="19" fillId="0" borderId="36" xfId="1" applyNumberFormat="1" applyFont="1" applyBorder="1"/>
    <xf numFmtId="171" fontId="19" fillId="0" borderId="35" xfId="1" applyNumberFormat="1" applyFont="1" applyBorder="1"/>
    <xf numFmtId="164" fontId="18" fillId="0" borderId="31" xfId="1" applyNumberFormat="1" applyFont="1" applyBorder="1"/>
    <xf numFmtId="164" fontId="35" fillId="0" borderId="0" xfId="1" applyNumberFormat="1" applyFont="1"/>
    <xf numFmtId="164" fontId="37" fillId="0" borderId="0" xfId="0" applyNumberFormat="1" applyFont="1"/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0" fontId="32" fillId="0" borderId="0" xfId="0" applyFont="1" applyFill="1" applyBorder="1"/>
    <xf numFmtId="164" fontId="23" fillId="0" borderId="45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/>
    </xf>
    <xf numFmtId="164" fontId="22" fillId="0" borderId="16" xfId="0" applyNumberFormat="1" applyFont="1" applyFill="1" applyBorder="1" applyAlignment="1">
      <alignment horizontal="center"/>
    </xf>
    <xf numFmtId="0" fontId="36" fillId="0" borderId="21" xfId="0" applyFont="1" applyBorder="1" applyAlignment="1">
      <alignment vertical="center"/>
    </xf>
    <xf numFmtId="164" fontId="22" fillId="0" borderId="12" xfId="0" applyNumberFormat="1" applyFont="1" applyFill="1" applyBorder="1" applyAlignment="1">
      <alignment horizontal="center"/>
    </xf>
    <xf numFmtId="164" fontId="22" fillId="0" borderId="20" xfId="0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vertical="center"/>
    </xf>
    <xf numFmtId="164" fontId="22" fillId="0" borderId="32" xfId="0" applyNumberFormat="1" applyFont="1" applyFill="1" applyBorder="1" applyAlignment="1">
      <alignment horizontal="center"/>
    </xf>
    <xf numFmtId="164" fontId="22" fillId="0" borderId="24" xfId="0" applyNumberFormat="1" applyFont="1" applyFill="1" applyBorder="1" applyAlignment="1">
      <alignment horizontal="center"/>
    </xf>
    <xf numFmtId="164" fontId="24" fillId="0" borderId="13" xfId="1" applyNumberFormat="1" applyFont="1" applyBorder="1"/>
    <xf numFmtId="164" fontId="24" fillId="0" borderId="22" xfId="1" applyNumberFormat="1" applyFont="1" applyBorder="1"/>
    <xf numFmtId="3" fontId="24" fillId="0" borderId="34" xfId="0" applyNumberFormat="1" applyFont="1" applyFill="1" applyBorder="1"/>
    <xf numFmtId="164" fontId="24" fillId="0" borderId="29" xfId="1" applyNumberFormat="1" applyFont="1" applyBorder="1"/>
    <xf numFmtId="164" fontId="24" fillId="0" borderId="32" xfId="1" applyNumberFormat="1" applyFont="1" applyBorder="1"/>
    <xf numFmtId="164" fontId="19" fillId="0" borderId="34" xfId="1" applyNumberFormat="1" applyFont="1" applyBorder="1"/>
    <xf numFmtId="164" fontId="18" fillId="0" borderId="34" xfId="1" applyNumberFormat="1" applyFont="1" applyBorder="1"/>
    <xf numFmtId="164" fontId="18" fillId="0" borderId="36" xfId="0" applyNumberFormat="1" applyFont="1" applyBorder="1"/>
    <xf numFmtId="164" fontId="18" fillId="0" borderId="38" xfId="0" applyNumberFormat="1" applyFont="1" applyBorder="1"/>
    <xf numFmtId="164" fontId="35" fillId="0" borderId="0" xfId="0" applyNumberFormat="1" applyFont="1"/>
    <xf numFmtId="164" fontId="19" fillId="0" borderId="0" xfId="0" applyNumberFormat="1" applyFont="1"/>
    <xf numFmtId="164" fontId="0" fillId="0" borderId="0" xfId="0" applyNumberFormat="1"/>
    <xf numFmtId="0" fontId="23" fillId="0" borderId="14" xfId="0" applyFont="1" applyFill="1" applyBorder="1" applyAlignment="1">
      <alignment vertical="center"/>
    </xf>
    <xf numFmtId="164" fontId="30" fillId="0" borderId="20" xfId="0" applyNumberFormat="1" applyFont="1" applyFill="1" applyBorder="1"/>
    <xf numFmtId="164" fontId="37" fillId="0" borderId="13" xfId="0" applyNumberFormat="1" applyFont="1" applyBorder="1"/>
    <xf numFmtId="3" fontId="24" fillId="0" borderId="17" xfId="0" applyNumberFormat="1" applyFont="1" applyFill="1" applyBorder="1"/>
    <xf numFmtId="164" fontId="24" fillId="0" borderId="46" xfId="1" applyNumberFormat="1" applyFont="1" applyBorder="1"/>
    <xf numFmtId="0" fontId="19" fillId="0" borderId="0" xfId="0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0" fontId="22" fillId="0" borderId="2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4" fillId="0" borderId="27" xfId="0" applyFont="1" applyBorder="1"/>
    <xf numFmtId="0" fontId="19" fillId="0" borderId="13" xfId="0" applyFont="1" applyFill="1" applyBorder="1" applyAlignment="1">
      <alignment horizontal="center"/>
    </xf>
    <xf numFmtId="164" fontId="19" fillId="0" borderId="13" xfId="1" applyNumberFormat="1" applyFont="1" applyBorder="1"/>
    <xf numFmtId="164" fontId="24" fillId="0" borderId="39" xfId="1" applyNumberFormat="1" applyFont="1" applyBorder="1"/>
    <xf numFmtId="0" fontId="24" fillId="0" borderId="0" xfId="0" applyFont="1" applyAlignment="1">
      <alignment vertical="center"/>
    </xf>
    <xf numFmtId="0" fontId="25" fillId="0" borderId="54" xfId="0" applyFont="1" applyBorder="1" applyProtection="1"/>
    <xf numFmtId="3" fontId="25" fillId="0" borderId="38" xfId="0" applyNumberFormat="1" applyFont="1" applyBorder="1" applyAlignment="1" applyProtection="1">
      <alignment horizontal="center"/>
    </xf>
    <xf numFmtId="4" fontId="25" fillId="0" borderId="38" xfId="0" applyNumberFormat="1" applyFont="1" applyBorder="1" applyAlignment="1" applyProtection="1">
      <alignment horizontal="center"/>
    </xf>
    <xf numFmtId="4" fontId="25" fillId="0" borderId="44" xfId="0" applyNumberFormat="1" applyFont="1" applyBorder="1" applyAlignment="1" applyProtection="1">
      <alignment horizontal="center"/>
    </xf>
    <xf numFmtId="3" fontId="25" fillId="0" borderId="55" xfId="0" applyNumberFormat="1" applyFont="1" applyBorder="1" applyAlignment="1" applyProtection="1">
      <alignment horizontal="center"/>
    </xf>
    <xf numFmtId="0" fontId="25" fillId="0" borderId="56" xfId="0" applyFont="1" applyBorder="1" applyProtection="1"/>
    <xf numFmtId="3" fontId="25" fillId="0" borderId="21" xfId="0" applyNumberFormat="1" applyFont="1" applyBorder="1" applyAlignment="1" applyProtection="1">
      <alignment horizontal="center"/>
    </xf>
    <xf numFmtId="4" fontId="25" fillId="0" borderId="21" xfId="0" applyNumberFormat="1" applyFont="1" applyBorder="1" applyAlignment="1" applyProtection="1">
      <alignment horizontal="center"/>
    </xf>
    <xf numFmtId="4" fontId="25" fillId="0" borderId="20" xfId="0" applyNumberFormat="1" applyFont="1" applyBorder="1" applyAlignment="1" applyProtection="1">
      <alignment horizontal="center"/>
    </xf>
    <xf numFmtId="3" fontId="25" fillId="0" borderId="49" xfId="0" applyNumberFormat="1" applyFont="1" applyBorder="1" applyAlignment="1" applyProtection="1">
      <alignment horizontal="center"/>
    </xf>
    <xf numFmtId="0" fontId="25" fillId="0" borderId="57" xfId="0" applyFont="1" applyBorder="1" applyAlignment="1" applyProtection="1">
      <alignment horizontal="center"/>
    </xf>
    <xf numFmtId="3" fontId="25" fillId="0" borderId="28" xfId="0" applyNumberFormat="1" applyFont="1" applyBorder="1" applyAlignment="1" applyProtection="1">
      <alignment horizontal="center"/>
    </xf>
    <xf numFmtId="4" fontId="25" fillId="0" borderId="28" xfId="0" applyNumberFormat="1" applyFont="1" applyBorder="1" applyAlignment="1" applyProtection="1">
      <alignment horizontal="center"/>
    </xf>
    <xf numFmtId="3" fontId="25" fillId="0" borderId="58" xfId="0" applyNumberFormat="1" applyFont="1" applyBorder="1" applyAlignment="1" applyProtection="1">
      <alignment horizontal="center"/>
    </xf>
    <xf numFmtId="0" fontId="25" fillId="0" borderId="59" xfId="0" applyFont="1" applyBorder="1" applyAlignment="1" applyProtection="1">
      <alignment horizontal="center"/>
    </xf>
    <xf numFmtId="3" fontId="25" fillId="0" borderId="37" xfId="0" applyNumberFormat="1" applyFont="1" applyFill="1" applyBorder="1" applyAlignment="1">
      <alignment horizontal="center"/>
    </xf>
    <xf numFmtId="4" fontId="25" fillId="0" borderId="37" xfId="0" applyNumberFormat="1" applyFont="1" applyFill="1" applyBorder="1" applyAlignment="1">
      <alignment horizontal="center"/>
    </xf>
    <xf numFmtId="3" fontId="25" fillId="0" borderId="60" xfId="0" applyNumberFormat="1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3" fontId="25" fillId="0" borderId="34" xfId="1" applyNumberFormat="1" applyFont="1" applyBorder="1" applyAlignment="1">
      <alignment horizontal="center"/>
    </xf>
    <xf numFmtId="37" fontId="25" fillId="0" borderId="34" xfId="1" applyNumberFormat="1" applyFont="1" applyBorder="1" applyAlignment="1">
      <alignment horizontal="center"/>
    </xf>
    <xf numFmtId="3" fontId="25" fillId="0" borderId="61" xfId="1" applyNumberFormat="1" applyFont="1" applyBorder="1" applyAlignment="1">
      <alignment horizontal="center"/>
    </xf>
    <xf numFmtId="3" fontId="25" fillId="0" borderId="35" xfId="0" applyNumberFormat="1" applyFont="1" applyFill="1" applyBorder="1" applyAlignment="1">
      <alignment horizontal="center"/>
    </xf>
    <xf numFmtId="3" fontId="25" fillId="0" borderId="35" xfId="1" applyNumberFormat="1" applyFont="1" applyFill="1" applyBorder="1" applyAlignment="1">
      <alignment horizontal="center"/>
    </xf>
    <xf numFmtId="3" fontId="25" fillId="0" borderId="61" xfId="0" applyNumberFormat="1" applyFont="1" applyFill="1" applyBorder="1" applyAlignment="1">
      <alignment horizontal="center"/>
    </xf>
    <xf numFmtId="3" fontId="25" fillId="0" borderId="40" xfId="0" applyNumberFormat="1" applyFont="1" applyBorder="1" applyAlignment="1" applyProtection="1">
      <alignment horizontal="center"/>
    </xf>
    <xf numFmtId="4" fontId="25" fillId="0" borderId="40" xfId="0" applyNumberFormat="1" applyFont="1" applyBorder="1" applyAlignment="1" applyProtection="1">
      <alignment horizontal="center"/>
    </xf>
    <xf numFmtId="3" fontId="25" fillId="0" borderId="37" xfId="0" applyNumberFormat="1" applyFont="1" applyFill="1" applyBorder="1" applyAlignment="1" applyProtection="1">
      <alignment horizontal="center"/>
    </xf>
    <xf numFmtId="4" fontId="25" fillId="0" borderId="60" xfId="0" applyNumberFormat="1" applyFont="1" applyFill="1" applyBorder="1" applyAlignment="1">
      <alignment horizontal="center"/>
    </xf>
    <xf numFmtId="37" fontId="25" fillId="0" borderId="37" xfId="1" applyNumberFormat="1" applyFont="1" applyBorder="1" applyAlignment="1">
      <alignment horizontal="center"/>
    </xf>
    <xf numFmtId="3" fontId="25" fillId="0" borderId="37" xfId="1" applyNumberFormat="1" applyFont="1" applyBorder="1" applyAlignment="1">
      <alignment horizontal="center"/>
    </xf>
    <xf numFmtId="37" fontId="25" fillId="0" borderId="37" xfId="1" applyNumberFormat="1" applyFont="1" applyFill="1" applyBorder="1" applyAlignment="1">
      <alignment horizontal="center"/>
    </xf>
    <xf numFmtId="3" fontId="25" fillId="0" borderId="37" xfId="1" applyNumberFormat="1" applyFont="1" applyBorder="1" applyAlignment="1">
      <alignment horizontal="center" vertical="center"/>
    </xf>
    <xf numFmtId="3" fontId="25" fillId="0" borderId="34" xfId="0" applyNumberFormat="1" applyFont="1" applyBorder="1" applyAlignment="1">
      <alignment horizontal="center"/>
    </xf>
    <xf numFmtId="37" fontId="25" fillId="0" borderId="35" xfId="1" applyNumberFormat="1" applyFont="1" applyFill="1" applyBorder="1" applyAlignment="1">
      <alignment horizontal="center"/>
    </xf>
    <xf numFmtId="4" fontId="25" fillId="0" borderId="37" xfId="0" applyNumberFormat="1" applyFont="1" applyFill="1" applyBorder="1" applyAlignment="1" applyProtection="1">
      <alignment horizontal="center"/>
    </xf>
    <xf numFmtId="3" fontId="25" fillId="0" borderId="20" xfId="0" applyNumberFormat="1" applyFont="1" applyFill="1" applyBorder="1" applyAlignment="1">
      <alignment horizontal="center"/>
    </xf>
    <xf numFmtId="3" fontId="25" fillId="0" borderId="20" xfId="0" applyNumberFormat="1" applyFont="1" applyFill="1" applyBorder="1" applyAlignment="1" applyProtection="1">
      <alignment horizontal="center"/>
    </xf>
    <xf numFmtId="166" fontId="25" fillId="0" borderId="49" xfId="3" applyNumberFormat="1" applyFont="1" applyFill="1" applyBorder="1" applyAlignment="1" applyProtection="1">
      <alignment horizontal="center"/>
    </xf>
    <xf numFmtId="1" fontId="25" fillId="0" borderId="34" xfId="0" applyNumberFormat="1" applyFont="1" applyBorder="1" applyAlignment="1">
      <alignment horizontal="center"/>
    </xf>
    <xf numFmtId="1" fontId="25" fillId="0" borderId="34" xfId="1" applyNumberFormat="1" applyFont="1" applyBorder="1" applyAlignment="1">
      <alignment horizontal="center"/>
    </xf>
    <xf numFmtId="166" fontId="25" fillId="0" borderId="61" xfId="3" applyNumberFormat="1" applyFont="1" applyBorder="1" applyAlignment="1">
      <alignment horizontal="center"/>
    </xf>
    <xf numFmtId="3" fontId="25" fillId="0" borderId="38" xfId="0" applyNumberFormat="1" applyFont="1" applyFill="1" applyBorder="1" applyAlignment="1">
      <alignment horizontal="center"/>
    </xf>
    <xf numFmtId="166" fontId="25" fillId="0" borderId="63" xfId="3" applyNumberFormat="1" applyFont="1" applyFill="1" applyBorder="1" applyAlignment="1">
      <alignment horizontal="center"/>
    </xf>
    <xf numFmtId="0" fontId="25" fillId="0" borderId="64" xfId="0" applyFont="1" applyBorder="1" applyAlignment="1" applyProtection="1">
      <alignment horizontal="center"/>
    </xf>
    <xf numFmtId="3" fontId="25" fillId="0" borderId="23" xfId="0" applyNumberFormat="1" applyFont="1" applyFill="1" applyBorder="1" applyAlignment="1">
      <alignment horizontal="center"/>
    </xf>
    <xf numFmtId="3" fontId="25" fillId="0" borderId="65" xfId="0" applyNumberFormat="1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horizontal="left"/>
    </xf>
    <xf numFmtId="164" fontId="25" fillId="0" borderId="0" xfId="1" applyNumberFormat="1" applyFont="1"/>
    <xf numFmtId="0" fontId="41" fillId="0" borderId="0" xfId="0" applyFont="1"/>
    <xf numFmtId="0" fontId="25" fillId="0" borderId="56" xfId="0" applyFont="1" applyFill="1" applyBorder="1" applyAlignment="1" applyProtection="1">
      <alignment horizontal="center"/>
    </xf>
    <xf numFmtId="0" fontId="0" fillId="0" borderId="42" xfId="0" applyBorder="1"/>
    <xf numFmtId="4" fontId="25" fillId="0" borderId="61" xfId="0" applyNumberFormat="1" applyFont="1" applyFill="1" applyBorder="1" applyAlignment="1">
      <alignment horizontal="center"/>
    </xf>
    <xf numFmtId="4" fontId="25" fillId="0" borderId="20" xfId="0" applyNumberFormat="1" applyFont="1" applyFill="1" applyBorder="1" applyAlignment="1">
      <alignment horizontal="center"/>
    </xf>
    <xf numFmtId="3" fontId="25" fillId="0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 applyProtection="1">
      <alignment horizontal="center"/>
    </xf>
    <xf numFmtId="0" fontId="25" fillId="0" borderId="42" xfId="0" applyFont="1" applyFill="1" applyBorder="1" applyAlignment="1" applyProtection="1">
      <alignment horizontal="center"/>
    </xf>
    <xf numFmtId="1" fontId="19" fillId="0" borderId="13" xfId="2" applyNumberFormat="1" applyFont="1" applyBorder="1" applyAlignment="1">
      <alignment horizontal="center"/>
    </xf>
    <xf numFmtId="1" fontId="19" fillId="0" borderId="31" xfId="2" applyNumberFormat="1" applyFont="1" applyBorder="1" applyAlignment="1">
      <alignment horizontal="center"/>
    </xf>
    <xf numFmtId="164" fontId="18" fillId="0" borderId="13" xfId="1" applyNumberFormat="1" applyFont="1" applyBorder="1"/>
    <xf numFmtId="43" fontId="0" fillId="0" borderId="0" xfId="0" applyNumberFormat="1"/>
    <xf numFmtId="164" fontId="24" fillId="0" borderId="0" xfId="1" applyNumberFormat="1" applyFont="1" applyFill="1" applyBorder="1"/>
    <xf numFmtId="4" fontId="25" fillId="0" borderId="39" xfId="1" applyNumberFormat="1" applyFont="1" applyBorder="1"/>
    <xf numFmtId="0" fontId="40" fillId="0" borderId="62" xfId="0" applyFont="1" applyBorder="1" applyAlignment="1" applyProtection="1">
      <alignment horizontal="center" vertical="center"/>
    </xf>
    <xf numFmtId="0" fontId="40" fillId="0" borderId="39" xfId="0" applyFont="1" applyBorder="1" applyAlignment="1" applyProtection="1">
      <alignment horizontal="center" vertical="center"/>
    </xf>
    <xf numFmtId="0" fontId="40" fillId="0" borderId="58" xfId="0" applyFont="1" applyBorder="1" applyAlignment="1" applyProtection="1">
      <alignment horizontal="center" vertical="center"/>
    </xf>
    <xf numFmtId="4" fontId="23" fillId="0" borderId="0" xfId="0" applyNumberFormat="1" applyFont="1" applyAlignment="1">
      <alignment horizontal="center"/>
    </xf>
    <xf numFmtId="0" fontId="24" fillId="0" borderId="0" xfId="0" applyFont="1" applyAlignment="1"/>
    <xf numFmtId="0" fontId="38" fillId="0" borderId="0" xfId="0" applyFont="1" applyBorder="1" applyAlignment="1">
      <alignment horizontal="center"/>
    </xf>
    <xf numFmtId="3" fontId="26" fillId="0" borderId="0" xfId="0" applyNumberFormat="1" applyFont="1" applyAlignment="1" applyProtection="1">
      <alignment horizontal="left"/>
    </xf>
    <xf numFmtId="0" fontId="39" fillId="0" borderId="13" xfId="0" applyFont="1" applyBorder="1" applyAlignment="1" applyProtection="1">
      <alignment horizontal="center"/>
    </xf>
    <xf numFmtId="0" fontId="40" fillId="0" borderId="52" xfId="0" applyFont="1" applyBorder="1" applyAlignment="1" applyProtection="1">
      <alignment horizontal="center" vertical="center"/>
    </xf>
    <xf numFmtId="0" fontId="40" fillId="0" borderId="18" xfId="0" applyFont="1" applyBorder="1" applyAlignment="1" applyProtection="1">
      <alignment horizontal="center" vertical="center"/>
    </xf>
    <xf numFmtId="0" fontId="40" fillId="0" borderId="53" xfId="0" applyFont="1" applyBorder="1" applyAlignment="1" applyProtection="1">
      <alignment horizontal="center" vertical="center"/>
    </xf>
    <xf numFmtId="164" fontId="22" fillId="0" borderId="20" xfId="1" applyNumberFormat="1" applyFont="1" applyFill="1" applyBorder="1" applyAlignment="1">
      <alignment horizontal="center" wrapText="1"/>
    </xf>
    <xf numFmtId="164" fontId="22" fillId="0" borderId="24" xfId="1" applyNumberFormat="1" applyFont="1" applyFill="1" applyBorder="1" applyAlignment="1">
      <alignment horizontal="center" wrapText="1"/>
    </xf>
    <xf numFmtId="0" fontId="22" fillId="0" borderId="1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3" fillId="0" borderId="15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2" fillId="0" borderId="16" xfId="2" applyNumberFormat="1" applyFont="1" applyFill="1" applyBorder="1" applyAlignment="1">
      <alignment horizontal="center" wrapText="1"/>
    </xf>
    <xf numFmtId="0" fontId="22" fillId="0" borderId="20" xfId="2" applyNumberFormat="1" applyFont="1" applyFill="1" applyBorder="1" applyAlignment="1">
      <alignment horizontal="center" wrapText="1"/>
    </xf>
    <xf numFmtId="0" fontId="22" fillId="0" borderId="24" xfId="2" applyNumberFormat="1" applyFont="1" applyFill="1" applyBorder="1" applyAlignment="1">
      <alignment horizontal="center" wrapText="1"/>
    </xf>
    <xf numFmtId="164" fontId="22" fillId="0" borderId="16" xfId="1" applyNumberFormat="1" applyFont="1" applyFill="1" applyBorder="1" applyAlignment="1">
      <alignment horizontal="center" wrapText="1"/>
    </xf>
    <xf numFmtId="164" fontId="22" fillId="0" borderId="17" xfId="1" applyNumberFormat="1" applyFont="1" applyFill="1" applyBorder="1" applyAlignment="1">
      <alignment horizontal="center"/>
    </xf>
    <xf numFmtId="164" fontId="22" fillId="0" borderId="18" xfId="1" applyNumberFormat="1" applyFont="1" applyFill="1" applyBorder="1" applyAlignment="1">
      <alignment horizontal="center"/>
    </xf>
    <xf numFmtId="164" fontId="22" fillId="0" borderId="19" xfId="1" applyNumberFormat="1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9" fillId="0" borderId="30" xfId="0" applyFont="1" applyFill="1" applyBorder="1" applyAlignment="1">
      <alignment horizontal="right"/>
    </xf>
    <xf numFmtId="0" fontId="19" fillId="0" borderId="33" xfId="0" applyFont="1" applyFill="1" applyBorder="1" applyAlignment="1">
      <alignment horizontal="right"/>
    </xf>
    <xf numFmtId="0" fontId="19" fillId="0" borderId="31" xfId="0" applyFont="1" applyFill="1" applyBorder="1" applyAlignment="1">
      <alignment horizontal="right"/>
    </xf>
    <xf numFmtId="0" fontId="19" fillId="0" borderId="34" xfId="0" applyFont="1" applyFill="1" applyBorder="1" applyAlignment="1">
      <alignment horizontal="right"/>
    </xf>
    <xf numFmtId="0" fontId="19" fillId="0" borderId="35" xfId="0" applyFont="1" applyFill="1" applyBorder="1" applyAlignment="1">
      <alignment horizontal="right"/>
    </xf>
    <xf numFmtId="167" fontId="22" fillId="0" borderId="17" xfId="2" applyNumberFormat="1" applyFont="1" applyFill="1" applyBorder="1" applyAlignment="1">
      <alignment horizontal="center"/>
    </xf>
    <xf numFmtId="167" fontId="22" fillId="0" borderId="18" xfId="2" applyNumberFormat="1" applyFont="1" applyFill="1" applyBorder="1" applyAlignment="1">
      <alignment horizontal="center"/>
    </xf>
    <xf numFmtId="167" fontId="22" fillId="0" borderId="19" xfId="2" applyNumberFormat="1" applyFont="1" applyFill="1" applyBorder="1" applyAlignment="1">
      <alignment horizontal="center"/>
    </xf>
    <xf numFmtId="4" fontId="22" fillId="0" borderId="17" xfId="0" applyNumberFormat="1" applyFont="1" applyFill="1" applyBorder="1" applyAlignment="1">
      <alignment horizontal="center"/>
    </xf>
    <xf numFmtId="4" fontId="22" fillId="0" borderId="18" xfId="0" applyNumberFormat="1" applyFont="1" applyFill="1" applyBorder="1" applyAlignment="1">
      <alignment horizontal="center"/>
    </xf>
    <xf numFmtId="0" fontId="23" fillId="0" borderId="15" xfId="0" applyFont="1" applyFill="1" applyBorder="1" applyAlignment="1"/>
    <xf numFmtId="0" fontId="23" fillId="0" borderId="40" xfId="0" applyFont="1" applyBorder="1" applyAlignment="1"/>
    <xf numFmtId="0" fontId="19" fillId="0" borderId="33" xfId="0" applyFont="1" applyFill="1" applyBorder="1" applyAlignment="1">
      <alignment horizontal="center"/>
    </xf>
    <xf numFmtId="169" fontId="19" fillId="0" borderId="34" xfId="0" applyNumberFormat="1" applyFont="1" applyFill="1" applyBorder="1" applyAlignment="1">
      <alignment horizontal="center"/>
    </xf>
    <xf numFmtId="169" fontId="19" fillId="0" borderId="36" xfId="0" applyNumberFormat="1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164" fontId="22" fillId="0" borderId="46" xfId="1" applyNumberFormat="1" applyFont="1" applyFill="1" applyBorder="1" applyAlignment="1">
      <alignment horizontal="center"/>
    </xf>
    <xf numFmtId="164" fontId="22" fillId="0" borderId="14" xfId="1" applyNumberFormat="1" applyFont="1" applyFill="1" applyBorder="1" applyAlignment="1">
      <alignment horizontal="center"/>
    </xf>
    <xf numFmtId="164" fontId="22" fillId="0" borderId="15" xfId="1" applyNumberFormat="1" applyFont="1" applyFill="1" applyBorder="1" applyAlignment="1">
      <alignment horizontal="center"/>
    </xf>
    <xf numFmtId="1" fontId="22" fillId="0" borderId="16" xfId="0" applyNumberFormat="1" applyFont="1" applyFill="1" applyBorder="1" applyAlignment="1">
      <alignment horizontal="center" wrapText="1"/>
    </xf>
    <xf numFmtId="1" fontId="22" fillId="0" borderId="20" xfId="0" applyNumberFormat="1" applyFont="1" applyFill="1" applyBorder="1" applyAlignment="1">
      <alignment horizontal="center" wrapText="1"/>
    </xf>
    <xf numFmtId="1" fontId="22" fillId="0" borderId="24" xfId="0" applyNumberFormat="1" applyFont="1" applyFill="1" applyBorder="1" applyAlignment="1">
      <alignment horizontal="center" wrapText="1"/>
    </xf>
    <xf numFmtId="0" fontId="27" fillId="0" borderId="30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/>
    </xf>
    <xf numFmtId="164" fontId="24" fillId="0" borderId="19" xfId="1" applyNumberFormat="1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/>
    </xf>
    <xf numFmtId="0" fontId="24" fillId="0" borderId="15" xfId="0" applyFont="1" applyBorder="1" applyAlignment="1"/>
    <xf numFmtId="0" fontId="22" fillId="0" borderId="29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Data%20Coordinator\PLS\FY14%202013-2014\2013-2014StatisticalReports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Data%20Coordinator/PLS/FY2015-2016/Tables/2015-2016StatisticalReportsTable_Draft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ata (computable)"/>
      <sheetName val="LibPAS export"/>
      <sheetName val="Summary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Outlets"/>
      <sheetName val="all data (unlinked)"/>
      <sheetName val="regional"/>
      <sheetName val="county"/>
      <sheetName val="muni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4">
          <cell r="AG84">
            <v>2906.83</v>
          </cell>
        </row>
        <row r="85">
          <cell r="AN85">
            <v>11.568169014084503</v>
          </cell>
          <cell r="AO85">
            <v>503.02869565217384</v>
          </cell>
          <cell r="IW85">
            <v>14.746115500000002</v>
          </cell>
          <cell r="KK85">
            <v>33798.962500000001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County"/>
      <sheetName val="Salaries"/>
      <sheetName val="Municipal"/>
      <sheetName val="Regional"/>
      <sheetName val="Al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A8" t="str">
            <v>NC0103</v>
          </cell>
        </row>
      </sheetData>
      <sheetData sheetId="10" refreshError="1"/>
      <sheetData sheetId="11">
        <row r="8">
          <cell r="A8" t="str">
            <v>NC0103</v>
          </cell>
          <cell r="B8" t="str">
            <v>Alamance</v>
          </cell>
        </row>
        <row r="9">
          <cell r="A9" t="str">
            <v>NC0016</v>
          </cell>
          <cell r="B9" t="str">
            <v>Alexander</v>
          </cell>
        </row>
        <row r="10">
          <cell r="A10" t="str">
            <v>NC0017</v>
          </cell>
          <cell r="B10" t="str">
            <v>Bladen</v>
          </cell>
        </row>
        <row r="11">
          <cell r="A11" t="str">
            <v>NC0018</v>
          </cell>
          <cell r="B11" t="str">
            <v>Brunswick</v>
          </cell>
        </row>
        <row r="12">
          <cell r="A12" t="str">
            <v>NC0019</v>
          </cell>
          <cell r="B12" t="str">
            <v>Buncombe</v>
          </cell>
        </row>
        <row r="13">
          <cell r="A13" t="str">
            <v>NC0020</v>
          </cell>
          <cell r="B13" t="str">
            <v>Burke</v>
          </cell>
        </row>
        <row r="14">
          <cell r="A14" t="str">
            <v>NC0021</v>
          </cell>
          <cell r="B14" t="str">
            <v>Cabarrus</v>
          </cell>
        </row>
        <row r="15">
          <cell r="A15" t="str">
            <v>NC0022</v>
          </cell>
          <cell r="B15" t="str">
            <v>Caldwell</v>
          </cell>
        </row>
        <row r="16">
          <cell r="A16" t="str">
            <v>NC0107</v>
          </cell>
          <cell r="B16" t="str">
            <v>Caswell</v>
          </cell>
        </row>
        <row r="17">
          <cell r="A17" t="str">
            <v>NC0023</v>
          </cell>
          <cell r="B17" t="str">
            <v>Catawba</v>
          </cell>
        </row>
        <row r="18">
          <cell r="A18" t="str">
            <v>NC0104</v>
          </cell>
          <cell r="B18" t="str">
            <v>Chatham</v>
          </cell>
        </row>
        <row r="19">
          <cell r="A19" t="str">
            <v>NC0024</v>
          </cell>
          <cell r="B19" t="str">
            <v>Cleveland</v>
          </cell>
        </row>
        <row r="20">
          <cell r="A20" t="str">
            <v>NC0025</v>
          </cell>
          <cell r="B20" t="str">
            <v>Columbus</v>
          </cell>
        </row>
        <row r="21">
          <cell r="A21" t="str">
            <v>NC0026</v>
          </cell>
          <cell r="B21" t="str">
            <v>Cumberland</v>
          </cell>
        </row>
        <row r="22">
          <cell r="A22" t="str">
            <v>NC0027</v>
          </cell>
          <cell r="B22" t="str">
            <v>Davidson</v>
          </cell>
        </row>
        <row r="23">
          <cell r="A23" t="str">
            <v>NC0028</v>
          </cell>
          <cell r="B23" t="str">
            <v>Davie</v>
          </cell>
        </row>
        <row r="24">
          <cell r="A24" t="str">
            <v>NC0029</v>
          </cell>
          <cell r="B24" t="str">
            <v>Duplin</v>
          </cell>
        </row>
        <row r="25">
          <cell r="A25" t="str">
            <v>NC0030</v>
          </cell>
          <cell r="B25" t="str">
            <v>Durham</v>
          </cell>
        </row>
        <row r="26">
          <cell r="A26" t="str">
            <v>NC0031</v>
          </cell>
          <cell r="B26" t="str">
            <v>Edgecombe</v>
          </cell>
        </row>
        <row r="27">
          <cell r="A27" t="str">
            <v>NC0032</v>
          </cell>
          <cell r="B27" t="str">
            <v>Forsyth</v>
          </cell>
        </row>
        <row r="28">
          <cell r="A28" t="str">
            <v>NC0033</v>
          </cell>
          <cell r="B28" t="str">
            <v>Franklin</v>
          </cell>
        </row>
        <row r="29">
          <cell r="A29" t="str">
            <v>NC0105</v>
          </cell>
          <cell r="B29" t="str">
            <v>Gaston</v>
          </cell>
        </row>
        <row r="30">
          <cell r="A30" t="str">
            <v>NC0034</v>
          </cell>
          <cell r="B30" t="str">
            <v>Granville</v>
          </cell>
        </row>
        <row r="31">
          <cell r="A31" t="str">
            <v>NC0035</v>
          </cell>
          <cell r="B31" t="str">
            <v>Guilford (Greensboro)</v>
          </cell>
        </row>
        <row r="32">
          <cell r="A32" t="str">
            <v>NC0036</v>
          </cell>
          <cell r="B32" t="str">
            <v>Halifax</v>
          </cell>
        </row>
        <row r="33">
          <cell r="A33" t="str">
            <v>NC0037</v>
          </cell>
          <cell r="B33" t="str">
            <v>Harnett</v>
          </cell>
        </row>
        <row r="34">
          <cell r="A34" t="str">
            <v>NC0038</v>
          </cell>
          <cell r="B34" t="str">
            <v>Haywood</v>
          </cell>
        </row>
        <row r="35">
          <cell r="A35" t="str">
            <v>NC0039</v>
          </cell>
          <cell r="B35" t="str">
            <v>Henderson</v>
          </cell>
        </row>
        <row r="36">
          <cell r="A36" t="str">
            <v>NC0040</v>
          </cell>
          <cell r="B36" t="str">
            <v>Iredell</v>
          </cell>
        </row>
        <row r="37">
          <cell r="A37" t="str">
            <v>NC0041</v>
          </cell>
          <cell r="B37" t="str">
            <v>Johnston</v>
          </cell>
        </row>
        <row r="38">
          <cell r="A38" t="str">
            <v>NC0042</v>
          </cell>
          <cell r="B38" t="str">
            <v>Lee</v>
          </cell>
        </row>
        <row r="39">
          <cell r="A39" t="str">
            <v>NC0106</v>
          </cell>
          <cell r="B39" t="str">
            <v>Lincoln</v>
          </cell>
        </row>
        <row r="40">
          <cell r="A40" t="str">
            <v>NC0043</v>
          </cell>
          <cell r="B40" t="str">
            <v>Madison</v>
          </cell>
        </row>
        <row r="41">
          <cell r="A41" t="str">
            <v>NC0044</v>
          </cell>
          <cell r="B41" t="str">
            <v>McDowell</v>
          </cell>
        </row>
        <row r="42">
          <cell r="A42" t="str">
            <v>NC0045</v>
          </cell>
          <cell r="B42" t="str">
            <v>Mecklenburg</v>
          </cell>
        </row>
        <row r="43">
          <cell r="A43" t="str">
            <v>NC0046</v>
          </cell>
          <cell r="B43" t="str">
            <v>Nash (Braswell)</v>
          </cell>
        </row>
        <row r="44">
          <cell r="A44" t="str">
            <v>NC0047</v>
          </cell>
          <cell r="B44" t="str">
            <v>New Hanover</v>
          </cell>
        </row>
        <row r="45">
          <cell r="A45" t="str">
            <v>NC0048</v>
          </cell>
          <cell r="B45" t="str">
            <v>Onslow</v>
          </cell>
        </row>
        <row r="46">
          <cell r="A46" t="str">
            <v>NC0108</v>
          </cell>
          <cell r="B46" t="str">
            <v>Orange</v>
          </cell>
        </row>
        <row r="47">
          <cell r="A47" t="str">
            <v>NC0049</v>
          </cell>
          <cell r="B47" t="str">
            <v>Pender</v>
          </cell>
        </row>
        <row r="48">
          <cell r="A48" t="str">
            <v>NC0109</v>
          </cell>
          <cell r="B48" t="str">
            <v>Person</v>
          </cell>
        </row>
        <row r="49">
          <cell r="A49" t="str">
            <v>NC0050</v>
          </cell>
          <cell r="B49" t="str">
            <v>Pitt (Sheppard)</v>
          </cell>
        </row>
        <row r="50">
          <cell r="A50" t="str">
            <v>NC0051</v>
          </cell>
          <cell r="B50" t="str">
            <v>Polk</v>
          </cell>
        </row>
        <row r="51">
          <cell r="A51" t="str">
            <v>NC0052</v>
          </cell>
          <cell r="B51" t="str">
            <v>Randolph</v>
          </cell>
        </row>
        <row r="52">
          <cell r="A52" t="str">
            <v>NC0053</v>
          </cell>
          <cell r="B52" t="str">
            <v>Robeson</v>
          </cell>
        </row>
        <row r="53">
          <cell r="A53" t="str">
            <v>NC0054</v>
          </cell>
          <cell r="B53" t="str">
            <v>Rockingham</v>
          </cell>
        </row>
        <row r="54">
          <cell r="A54" t="str">
            <v>NC0055</v>
          </cell>
          <cell r="B54" t="str">
            <v>Rowan</v>
          </cell>
        </row>
        <row r="55">
          <cell r="A55" t="str">
            <v>NC0056</v>
          </cell>
          <cell r="B55" t="str">
            <v>Rutherford</v>
          </cell>
        </row>
        <row r="56">
          <cell r="A56" t="str">
            <v>NC0057</v>
          </cell>
          <cell r="B56" t="str">
            <v>Sampson</v>
          </cell>
        </row>
        <row r="57">
          <cell r="A57" t="str">
            <v>NC0058</v>
          </cell>
          <cell r="B57" t="str">
            <v>Scotland</v>
          </cell>
        </row>
        <row r="58">
          <cell r="A58" t="str">
            <v>NC0059</v>
          </cell>
          <cell r="B58" t="str">
            <v>Stanly</v>
          </cell>
        </row>
        <row r="59">
          <cell r="A59" t="str">
            <v>NC0060</v>
          </cell>
          <cell r="B59" t="str">
            <v>Transylvania</v>
          </cell>
        </row>
        <row r="60">
          <cell r="A60" t="str">
            <v>NC0061</v>
          </cell>
          <cell r="B60" t="str">
            <v>Union</v>
          </cell>
        </row>
        <row r="61">
          <cell r="A61" t="str">
            <v>NC0062</v>
          </cell>
          <cell r="B61" t="str">
            <v>Vance (Perry)</v>
          </cell>
        </row>
        <row r="62">
          <cell r="A62" t="str">
            <v>NC0063</v>
          </cell>
          <cell r="B62" t="str">
            <v>Wake</v>
          </cell>
        </row>
        <row r="63">
          <cell r="A63" t="str">
            <v>NC0101</v>
          </cell>
          <cell r="B63" t="str">
            <v>Warren</v>
          </cell>
        </row>
        <row r="64">
          <cell r="A64" t="str">
            <v>NC0065</v>
          </cell>
          <cell r="B64" t="str">
            <v>Wayne</v>
          </cell>
        </row>
        <row r="65">
          <cell r="A65" t="str">
            <v>NC0066</v>
          </cell>
          <cell r="B65" t="str">
            <v>Wilson</v>
          </cell>
        </row>
        <row r="68">
          <cell r="A68" t="str">
            <v>NC0001</v>
          </cell>
          <cell r="B68" t="str">
            <v>Albemarle</v>
          </cell>
        </row>
        <row r="69">
          <cell r="A69" t="str">
            <v>NC0003</v>
          </cell>
          <cell r="B69" t="str">
            <v>AMY</v>
          </cell>
        </row>
        <row r="70">
          <cell r="A70" t="str">
            <v>NC0002</v>
          </cell>
          <cell r="B70" t="str">
            <v>Appalachian</v>
          </cell>
        </row>
        <row r="71">
          <cell r="A71" t="str">
            <v>NC0004</v>
          </cell>
          <cell r="B71" t="str">
            <v>BHM</v>
          </cell>
        </row>
        <row r="72">
          <cell r="A72" t="str">
            <v>NC0006</v>
          </cell>
          <cell r="B72" t="str">
            <v>CPC</v>
          </cell>
        </row>
        <row r="73">
          <cell r="A73" t="str">
            <v>NC0007</v>
          </cell>
          <cell r="B73" t="str">
            <v>E. Albemarle</v>
          </cell>
        </row>
        <row r="74">
          <cell r="A74" t="str">
            <v>NC0008</v>
          </cell>
          <cell r="B74" t="str">
            <v>Fontana</v>
          </cell>
        </row>
        <row r="75">
          <cell r="A75" t="str">
            <v>NC0011</v>
          </cell>
          <cell r="B75" t="str">
            <v>Nantahala</v>
          </cell>
        </row>
        <row r="76">
          <cell r="A76" t="str">
            <v>NC0012</v>
          </cell>
          <cell r="B76" t="str">
            <v>Neuse</v>
          </cell>
        </row>
        <row r="77">
          <cell r="A77" t="str">
            <v>NC0013</v>
          </cell>
          <cell r="B77" t="str">
            <v>Northwestern</v>
          </cell>
        </row>
        <row r="78">
          <cell r="A78" t="str">
            <v>NC0014</v>
          </cell>
          <cell r="B78" t="str">
            <v>Pettigrew</v>
          </cell>
        </row>
        <row r="79">
          <cell r="A79" t="str">
            <v>NC0015</v>
          </cell>
          <cell r="B79" t="str">
            <v>Sandhill</v>
          </cell>
        </row>
        <row r="82">
          <cell r="B82" t="str">
            <v>Chapel Hill</v>
          </cell>
        </row>
        <row r="83">
          <cell r="B83" t="str">
            <v>Clayton</v>
          </cell>
        </row>
        <row r="84">
          <cell r="B84" t="str">
            <v>Farmville</v>
          </cell>
        </row>
        <row r="85">
          <cell r="B85" t="str">
            <v>Hickory</v>
          </cell>
        </row>
        <row r="86">
          <cell r="B86" t="str">
            <v>High Point</v>
          </cell>
        </row>
        <row r="87">
          <cell r="B87" t="str">
            <v>Kings Mountain</v>
          </cell>
        </row>
        <row r="88">
          <cell r="B88" t="str">
            <v>Mooresville</v>
          </cell>
        </row>
        <row r="89">
          <cell r="B89" t="str">
            <v>Nashville</v>
          </cell>
        </row>
        <row r="90">
          <cell r="B90" t="str">
            <v>Roanoke Rapids</v>
          </cell>
        </row>
        <row r="91">
          <cell r="B91" t="str">
            <v>Southern Pines</v>
          </cell>
        </row>
        <row r="92">
          <cell r="B92" t="str">
            <v>Washington</v>
          </cell>
        </row>
      </sheetData>
      <sheetData sheetId="12" refreshError="1"/>
      <sheetData sheetId="13">
        <row r="9">
          <cell r="A9" t="str">
            <v>NC0103</v>
          </cell>
          <cell r="B9" t="str">
            <v>Alamance</v>
          </cell>
        </row>
        <row r="10">
          <cell r="A10" t="str">
            <v>NC0016</v>
          </cell>
          <cell r="B10" t="str">
            <v>Alexander</v>
          </cell>
        </row>
        <row r="11">
          <cell r="A11" t="str">
            <v>NC0017</v>
          </cell>
          <cell r="B11" t="str">
            <v>Bladen</v>
          </cell>
        </row>
        <row r="12">
          <cell r="A12" t="str">
            <v>NC0018</v>
          </cell>
          <cell r="B12" t="str">
            <v>Brunswick</v>
          </cell>
        </row>
        <row r="13">
          <cell r="A13" t="str">
            <v>NC0019</v>
          </cell>
          <cell r="B13" t="str">
            <v>Buncombe</v>
          </cell>
        </row>
        <row r="14">
          <cell r="A14" t="str">
            <v>NC0020</v>
          </cell>
          <cell r="B14" t="str">
            <v>Burke</v>
          </cell>
        </row>
        <row r="15">
          <cell r="A15" t="str">
            <v>NC0021</v>
          </cell>
          <cell r="B15" t="str">
            <v>Cabarrus</v>
          </cell>
        </row>
        <row r="16">
          <cell r="A16" t="str">
            <v>NC0022</v>
          </cell>
          <cell r="B16" t="str">
            <v>Caldwell</v>
          </cell>
        </row>
        <row r="17">
          <cell r="A17" t="str">
            <v>NC0107</v>
          </cell>
          <cell r="B17" t="str">
            <v>Caswell</v>
          </cell>
        </row>
        <row r="18">
          <cell r="A18" t="str">
            <v>NC0023</v>
          </cell>
          <cell r="B18" t="str">
            <v>Catawba</v>
          </cell>
        </row>
        <row r="19">
          <cell r="A19" t="str">
            <v>NC0104</v>
          </cell>
          <cell r="B19" t="str">
            <v>Chatham</v>
          </cell>
        </row>
        <row r="20">
          <cell r="A20" t="str">
            <v>NC0024</v>
          </cell>
          <cell r="B20" t="str">
            <v>Cleveland</v>
          </cell>
        </row>
        <row r="21">
          <cell r="A21" t="str">
            <v>NC0025</v>
          </cell>
          <cell r="B21" t="str">
            <v>Columbus</v>
          </cell>
        </row>
        <row r="22">
          <cell r="A22" t="str">
            <v>NC0026</v>
          </cell>
          <cell r="B22" t="str">
            <v>Cumberland</v>
          </cell>
        </row>
        <row r="23">
          <cell r="A23" t="str">
            <v>NC0027</v>
          </cell>
          <cell r="B23" t="str">
            <v>Davidson</v>
          </cell>
        </row>
        <row r="24">
          <cell r="A24" t="str">
            <v>NC0028</v>
          </cell>
          <cell r="B24" t="str">
            <v>Davie</v>
          </cell>
        </row>
        <row r="25">
          <cell r="A25" t="str">
            <v>NC0029</v>
          </cell>
          <cell r="B25" t="str">
            <v>Duplin</v>
          </cell>
        </row>
        <row r="26">
          <cell r="A26" t="str">
            <v>NC0030</v>
          </cell>
          <cell r="B26" t="str">
            <v>Durham</v>
          </cell>
        </row>
        <row r="27">
          <cell r="A27" t="str">
            <v>NC0031</v>
          </cell>
          <cell r="B27" t="str">
            <v>Edgecombe</v>
          </cell>
        </row>
        <row r="28">
          <cell r="A28" t="str">
            <v>NC0032</v>
          </cell>
          <cell r="B28" t="str">
            <v>Forsyth</v>
          </cell>
        </row>
        <row r="29">
          <cell r="A29" t="str">
            <v>NC0033</v>
          </cell>
          <cell r="B29" t="str">
            <v>Franklin</v>
          </cell>
        </row>
        <row r="30">
          <cell r="A30" t="str">
            <v>NC0105</v>
          </cell>
          <cell r="B30" t="str">
            <v>Gaston</v>
          </cell>
        </row>
        <row r="31">
          <cell r="A31" t="str">
            <v>NC0034</v>
          </cell>
          <cell r="B31" t="str">
            <v>Granville</v>
          </cell>
        </row>
        <row r="32">
          <cell r="A32" t="str">
            <v>NC0035</v>
          </cell>
          <cell r="B32" t="str">
            <v>Guilford (Greensboro)</v>
          </cell>
        </row>
        <row r="33">
          <cell r="A33" t="str">
            <v>NC0036</v>
          </cell>
          <cell r="B33" t="str">
            <v>Halifax</v>
          </cell>
        </row>
        <row r="34">
          <cell r="A34" t="str">
            <v>NC0037</v>
          </cell>
          <cell r="B34" t="str">
            <v>Harnett</v>
          </cell>
        </row>
        <row r="35">
          <cell r="A35" t="str">
            <v>NC0038</v>
          </cell>
          <cell r="B35" t="str">
            <v>Haywood</v>
          </cell>
        </row>
        <row r="36">
          <cell r="A36" t="str">
            <v>NC0039</v>
          </cell>
          <cell r="B36" t="str">
            <v>Henderson</v>
          </cell>
        </row>
        <row r="37">
          <cell r="A37" t="str">
            <v>NC0040</v>
          </cell>
          <cell r="B37" t="str">
            <v>Iredell</v>
          </cell>
        </row>
        <row r="38">
          <cell r="A38" t="str">
            <v>NC0041</v>
          </cell>
          <cell r="B38" t="str">
            <v>Johnston</v>
          </cell>
        </row>
        <row r="39">
          <cell r="A39" t="str">
            <v>NC0042</v>
          </cell>
          <cell r="B39" t="str">
            <v>Lee</v>
          </cell>
        </row>
        <row r="40">
          <cell r="A40" t="str">
            <v>NC0106</v>
          </cell>
          <cell r="B40" t="str">
            <v>Lincoln</v>
          </cell>
        </row>
        <row r="41">
          <cell r="A41" t="str">
            <v>NC0043</v>
          </cell>
          <cell r="B41" t="str">
            <v>Madison</v>
          </cell>
        </row>
        <row r="42">
          <cell r="A42" t="str">
            <v>NC0044</v>
          </cell>
          <cell r="B42" t="str">
            <v>McDowell</v>
          </cell>
        </row>
        <row r="43">
          <cell r="A43" t="str">
            <v>NC0045</v>
          </cell>
          <cell r="B43" t="str">
            <v>Mecklenburg</v>
          </cell>
        </row>
        <row r="44">
          <cell r="A44" t="str">
            <v>NC0046</v>
          </cell>
          <cell r="B44" t="str">
            <v>Nash (Braswell)</v>
          </cell>
        </row>
        <row r="45">
          <cell r="A45" t="str">
            <v>NC0047</v>
          </cell>
          <cell r="B45" t="str">
            <v>New Hanover</v>
          </cell>
        </row>
        <row r="46">
          <cell r="A46" t="str">
            <v>NC0048</v>
          </cell>
          <cell r="B46" t="str">
            <v>Onslow</v>
          </cell>
        </row>
        <row r="47">
          <cell r="A47" t="str">
            <v>NC0108</v>
          </cell>
          <cell r="B47" t="str">
            <v>Orange</v>
          </cell>
        </row>
        <row r="48">
          <cell r="A48" t="str">
            <v>NC0049</v>
          </cell>
          <cell r="B48" t="str">
            <v>Pender</v>
          </cell>
        </row>
        <row r="49">
          <cell r="A49" t="str">
            <v>NC0109</v>
          </cell>
          <cell r="B49" t="str">
            <v>Person</v>
          </cell>
        </row>
        <row r="50">
          <cell r="A50" t="str">
            <v>NC0050</v>
          </cell>
          <cell r="B50" t="str">
            <v>Pitt (Sheppard)</v>
          </cell>
        </row>
        <row r="51">
          <cell r="A51" t="str">
            <v>NC0051</v>
          </cell>
          <cell r="B51" t="str">
            <v>Polk</v>
          </cell>
        </row>
        <row r="52">
          <cell r="A52" t="str">
            <v>NC0052</v>
          </cell>
          <cell r="B52" t="str">
            <v>Randolph</v>
          </cell>
        </row>
        <row r="53">
          <cell r="A53" t="str">
            <v>NC0053</v>
          </cell>
          <cell r="B53" t="str">
            <v>Robeson</v>
          </cell>
        </row>
        <row r="54">
          <cell r="A54" t="str">
            <v>NC0054</v>
          </cell>
          <cell r="B54" t="str">
            <v>Rockingham</v>
          </cell>
        </row>
        <row r="55">
          <cell r="A55" t="str">
            <v>NC0055</v>
          </cell>
          <cell r="B55" t="str">
            <v>Rowan</v>
          </cell>
        </row>
        <row r="56">
          <cell r="A56" t="str">
            <v>NC0056</v>
          </cell>
          <cell r="B56" t="str">
            <v>Rutherford</v>
          </cell>
        </row>
        <row r="57">
          <cell r="A57" t="str">
            <v>NC0057</v>
          </cell>
          <cell r="B57" t="str">
            <v>Sampson</v>
          </cell>
        </row>
        <row r="58">
          <cell r="A58" t="str">
            <v>NC0058</v>
          </cell>
          <cell r="B58" t="str">
            <v>Scotland</v>
          </cell>
        </row>
        <row r="59">
          <cell r="A59" t="str">
            <v>NC0059</v>
          </cell>
          <cell r="B59" t="str">
            <v>Stanly</v>
          </cell>
        </row>
        <row r="60">
          <cell r="A60" t="str">
            <v>NC0060</v>
          </cell>
          <cell r="B60" t="str">
            <v>Transylvania</v>
          </cell>
        </row>
        <row r="61">
          <cell r="A61" t="str">
            <v>NC0061</v>
          </cell>
          <cell r="B61" t="str">
            <v>Union</v>
          </cell>
        </row>
        <row r="62">
          <cell r="A62" t="str">
            <v>NC0062</v>
          </cell>
          <cell r="B62" t="str">
            <v>Vance (Perry)</v>
          </cell>
        </row>
        <row r="63">
          <cell r="A63" t="str">
            <v>NC0063</v>
          </cell>
          <cell r="B63" t="str">
            <v>Wake</v>
          </cell>
        </row>
        <row r="64">
          <cell r="A64" t="str">
            <v>NC0101</v>
          </cell>
          <cell r="B64" t="str">
            <v>Warren</v>
          </cell>
        </row>
        <row r="65">
          <cell r="A65" t="str">
            <v>NC0065</v>
          </cell>
          <cell r="B65" t="str">
            <v>Wayne</v>
          </cell>
        </row>
        <row r="66">
          <cell r="A66" t="str">
            <v>NC0066</v>
          </cell>
          <cell r="B66" t="str">
            <v>Wilson</v>
          </cell>
        </row>
        <row r="69">
          <cell r="A69" t="str">
            <v>NC0001</v>
          </cell>
          <cell r="B69" t="str">
            <v>Albemarle</v>
          </cell>
        </row>
        <row r="70">
          <cell r="A70" t="str">
            <v>NC0003</v>
          </cell>
          <cell r="B70" t="str">
            <v>AMY</v>
          </cell>
        </row>
        <row r="71">
          <cell r="A71" t="str">
            <v>NC0002</v>
          </cell>
          <cell r="B71" t="str">
            <v>Appalachian</v>
          </cell>
        </row>
        <row r="72">
          <cell r="A72" t="str">
            <v>NC0004</v>
          </cell>
          <cell r="B72" t="str">
            <v>BHM</v>
          </cell>
        </row>
        <row r="73">
          <cell r="A73" t="str">
            <v>NC0006</v>
          </cell>
          <cell r="B73" t="str">
            <v>CPC</v>
          </cell>
        </row>
        <row r="74">
          <cell r="A74" t="str">
            <v>NC0007</v>
          </cell>
          <cell r="B74" t="str">
            <v>E. Albemarle</v>
          </cell>
        </row>
        <row r="75">
          <cell r="A75" t="str">
            <v>NC0008</v>
          </cell>
          <cell r="B75" t="str">
            <v>Fontana</v>
          </cell>
        </row>
        <row r="76">
          <cell r="A76" t="str">
            <v>NC0011</v>
          </cell>
          <cell r="B76" t="str">
            <v>Nantahala</v>
          </cell>
        </row>
        <row r="77">
          <cell r="A77" t="str">
            <v>NC0012</v>
          </cell>
          <cell r="B77" t="str">
            <v>Neuse</v>
          </cell>
        </row>
        <row r="78">
          <cell r="A78" t="str">
            <v>NC0013</v>
          </cell>
          <cell r="B78" t="str">
            <v>Northwestern</v>
          </cell>
        </row>
        <row r="79">
          <cell r="A79" t="str">
            <v>NC0014</v>
          </cell>
          <cell r="B79" t="str">
            <v>Pettigrew</v>
          </cell>
        </row>
        <row r="80">
          <cell r="A80" t="str">
            <v>NC0015</v>
          </cell>
          <cell r="B80" t="str">
            <v>Sandhill</v>
          </cell>
        </row>
        <row r="83">
          <cell r="B83" t="str">
            <v>Chapel Hill</v>
          </cell>
        </row>
        <row r="84">
          <cell r="B84" t="str">
            <v>Clayton</v>
          </cell>
        </row>
        <row r="85">
          <cell r="B85" t="str">
            <v>Farmville</v>
          </cell>
        </row>
        <row r="86">
          <cell r="B86" t="str">
            <v>Hickory</v>
          </cell>
        </row>
        <row r="87">
          <cell r="B87" t="str">
            <v>High Point</v>
          </cell>
        </row>
        <row r="88">
          <cell r="B88" t="str">
            <v>Kings Mountain</v>
          </cell>
        </row>
        <row r="89">
          <cell r="B89" t="str">
            <v>Mooresville</v>
          </cell>
        </row>
        <row r="90">
          <cell r="B90" t="str">
            <v>Nashville</v>
          </cell>
        </row>
        <row r="91">
          <cell r="B91" t="str">
            <v>Roanoke Rapids</v>
          </cell>
        </row>
        <row r="92">
          <cell r="B92" t="str">
            <v>Southern Pines</v>
          </cell>
        </row>
        <row r="93">
          <cell r="B93" t="str">
            <v>Washington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14">
          <cell r="BV14">
            <v>103568</v>
          </cell>
          <cell r="BY14">
            <v>16198</v>
          </cell>
          <cell r="BZ14">
            <v>308418</v>
          </cell>
          <cell r="CD14">
            <v>28253</v>
          </cell>
          <cell r="CH14">
            <v>6683</v>
          </cell>
          <cell r="CI14">
            <v>4689</v>
          </cell>
          <cell r="CJ14">
            <v>16728</v>
          </cell>
          <cell r="CK14">
            <v>0</v>
          </cell>
          <cell r="CN14">
            <v>350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>
      <selection activeCell="B4" sqref="B4:I4"/>
    </sheetView>
  </sheetViews>
  <sheetFormatPr defaultRowHeight="15" x14ac:dyDescent="0.25"/>
  <cols>
    <col min="2" max="2" width="17" customWidth="1"/>
    <col min="3" max="3" width="14.28515625" customWidth="1"/>
    <col min="4" max="4" width="12.140625" customWidth="1"/>
    <col min="5" max="5" width="14.7109375" customWidth="1"/>
    <col min="6" max="6" width="11.85546875" customWidth="1"/>
    <col min="7" max="7" width="12.140625" customWidth="1"/>
    <col min="8" max="8" width="12" customWidth="1"/>
    <col min="9" max="9" width="14.140625" customWidth="1"/>
    <col min="11" max="11" width="11.140625" customWidth="1"/>
  </cols>
  <sheetData>
    <row r="1" spans="1:10" x14ac:dyDescent="0.25">
      <c r="A1" s="122"/>
      <c r="B1" s="625"/>
      <c r="C1" s="626"/>
      <c r="D1" s="626"/>
      <c r="E1" s="626"/>
      <c r="F1" s="626"/>
      <c r="G1" s="626"/>
      <c r="H1" s="626"/>
      <c r="I1" s="626"/>
    </row>
    <row r="2" spans="1:10" ht="18.75" x14ac:dyDescent="0.3">
      <c r="A2" s="627" t="s">
        <v>2132</v>
      </c>
      <c r="B2" s="627"/>
      <c r="C2" s="627"/>
      <c r="D2" s="627"/>
      <c r="E2" s="627"/>
      <c r="F2" s="627"/>
      <c r="G2" s="627"/>
      <c r="H2" s="627"/>
      <c r="I2" s="627"/>
    </row>
    <row r="3" spans="1:10" ht="18.75" x14ac:dyDescent="0.3">
      <c r="A3" s="627" t="s">
        <v>2174</v>
      </c>
      <c r="B3" s="627"/>
      <c r="C3" s="627"/>
      <c r="D3" s="627"/>
      <c r="E3" s="627"/>
      <c r="F3" s="627"/>
      <c r="G3" s="627"/>
      <c r="H3" s="627"/>
      <c r="I3" s="627"/>
    </row>
    <row r="4" spans="1:10" ht="15.75" x14ac:dyDescent="0.25">
      <c r="A4" s="284"/>
      <c r="B4" s="628" t="s">
        <v>2270</v>
      </c>
      <c r="C4" s="628"/>
      <c r="D4" s="628"/>
      <c r="E4" s="628"/>
      <c r="F4" s="628"/>
      <c r="G4" s="628"/>
      <c r="H4" s="628"/>
      <c r="I4" s="628"/>
    </row>
    <row r="5" spans="1:10" ht="16.5" thickBot="1" x14ac:dyDescent="0.3">
      <c r="A5" s="284"/>
      <c r="B5" s="629"/>
      <c r="C5" s="629"/>
      <c r="D5" s="629"/>
      <c r="E5" s="629"/>
      <c r="F5" s="629"/>
      <c r="G5" s="629"/>
      <c r="H5" s="629"/>
      <c r="I5" s="629"/>
    </row>
    <row r="6" spans="1:10" ht="15.75" thickTop="1" x14ac:dyDescent="0.25">
      <c r="A6" s="557"/>
      <c r="B6" s="630" t="s">
        <v>2133</v>
      </c>
      <c r="C6" s="631"/>
      <c r="D6" s="631"/>
      <c r="E6" s="631"/>
      <c r="F6" s="631"/>
      <c r="G6" s="631"/>
      <c r="H6" s="631"/>
      <c r="I6" s="632"/>
    </row>
    <row r="7" spans="1:10" x14ac:dyDescent="0.25">
      <c r="A7" s="122"/>
      <c r="B7" s="558"/>
      <c r="C7" s="559" t="s">
        <v>1873</v>
      </c>
      <c r="D7" s="560" t="s">
        <v>2134</v>
      </c>
      <c r="E7" s="559" t="s">
        <v>1914</v>
      </c>
      <c r="F7" s="560" t="s">
        <v>2134</v>
      </c>
      <c r="G7" s="559" t="s">
        <v>2135</v>
      </c>
      <c r="H7" s="561" t="s">
        <v>2136</v>
      </c>
      <c r="I7" s="562" t="s">
        <v>2137</v>
      </c>
    </row>
    <row r="8" spans="1:10" x14ac:dyDescent="0.25">
      <c r="A8" s="122"/>
      <c r="B8" s="563"/>
      <c r="C8" s="564" t="s">
        <v>2134</v>
      </c>
      <c r="D8" s="565" t="s">
        <v>2032</v>
      </c>
      <c r="E8" s="564" t="s">
        <v>2134</v>
      </c>
      <c r="F8" s="565" t="s">
        <v>1905</v>
      </c>
      <c r="G8" s="564" t="s">
        <v>2138</v>
      </c>
      <c r="H8" s="566" t="s">
        <v>1873</v>
      </c>
      <c r="I8" s="567" t="s">
        <v>1873</v>
      </c>
    </row>
    <row r="9" spans="1:10" x14ac:dyDescent="0.25">
      <c r="A9" s="122"/>
      <c r="B9" s="568" t="s">
        <v>1888</v>
      </c>
      <c r="C9" s="569" t="s">
        <v>2032</v>
      </c>
      <c r="D9" s="570" t="s">
        <v>2045</v>
      </c>
      <c r="E9" s="569" t="s">
        <v>1905</v>
      </c>
      <c r="F9" s="570" t="s">
        <v>2045</v>
      </c>
      <c r="G9" s="569" t="s">
        <v>2139</v>
      </c>
      <c r="H9" s="570" t="s">
        <v>2140</v>
      </c>
      <c r="I9" s="571" t="s">
        <v>2141</v>
      </c>
    </row>
    <row r="10" spans="1:10" x14ac:dyDescent="0.25">
      <c r="A10" s="122"/>
      <c r="B10" s="572" t="s">
        <v>2142</v>
      </c>
      <c r="C10" s="573">
        <v>16516721</v>
      </c>
      <c r="D10" s="574">
        <f t="shared" ref="D10:F13" si="0">C10/10056683</f>
        <v>1.6423626955329107</v>
      </c>
      <c r="E10" s="573">
        <v>41433833</v>
      </c>
      <c r="F10" s="574">
        <f t="shared" si="0"/>
        <v>4.1200297354505455</v>
      </c>
      <c r="G10" s="573">
        <v>1923426</v>
      </c>
      <c r="H10" s="574">
        <v>3.6978150634223197</v>
      </c>
      <c r="I10" s="575">
        <v>52705420</v>
      </c>
    </row>
    <row r="11" spans="1:10" x14ac:dyDescent="0.25">
      <c r="A11" s="122"/>
      <c r="B11" s="576" t="s">
        <v>2143</v>
      </c>
      <c r="C11" s="577">
        <v>16751726</v>
      </c>
      <c r="D11" s="574">
        <f t="shared" si="0"/>
        <v>1.6657307384552142</v>
      </c>
      <c r="E11" s="578">
        <v>40655365</v>
      </c>
      <c r="F11" s="574">
        <f t="shared" si="0"/>
        <v>4.04262170737608</v>
      </c>
      <c r="G11" s="577">
        <v>2555501</v>
      </c>
      <c r="H11" s="574">
        <v>3.8299368362597574</v>
      </c>
      <c r="I11" s="579">
        <v>52848517</v>
      </c>
    </row>
    <row r="12" spans="1:10" x14ac:dyDescent="0.25">
      <c r="A12" s="122"/>
      <c r="B12" s="572" t="s">
        <v>2144</v>
      </c>
      <c r="C12" s="580">
        <v>16035113</v>
      </c>
      <c r="D12" s="574">
        <f t="shared" si="0"/>
        <v>1.5944733467287375</v>
      </c>
      <c r="E12" s="580">
        <v>39279024</v>
      </c>
      <c r="F12" s="574">
        <f t="shared" si="0"/>
        <v>3.9057633615377951</v>
      </c>
      <c r="G12" s="581">
        <v>3279927</v>
      </c>
      <c r="H12" s="574">
        <v>4.0853234694953935</v>
      </c>
      <c r="I12" s="582">
        <v>51495304</v>
      </c>
    </row>
    <row r="13" spans="1:10" x14ac:dyDescent="0.25">
      <c r="A13" s="122"/>
      <c r="B13" s="572" t="s">
        <v>2145</v>
      </c>
      <c r="C13" s="580">
        <v>15583977</v>
      </c>
      <c r="D13" s="574">
        <f t="shared" si="0"/>
        <v>1.549614022834368</v>
      </c>
      <c r="E13" s="580">
        <v>37314196</v>
      </c>
      <c r="F13" s="574">
        <f t="shared" si="0"/>
        <v>3.7103880076562024</v>
      </c>
      <c r="G13" s="581">
        <v>11200066</v>
      </c>
      <c r="H13" s="574">
        <v>3.8003045074653068</v>
      </c>
      <c r="I13" s="582">
        <v>56914204</v>
      </c>
    </row>
    <row r="14" spans="1:10" x14ac:dyDescent="0.25">
      <c r="A14" s="122"/>
      <c r="B14" s="608" t="s">
        <v>2175</v>
      </c>
      <c r="C14" s="580">
        <f>SUM('Table 7'!F8:F65,'Table 7'!F68:F79,'Table 7'!F82:F92)</f>
        <v>15523774</v>
      </c>
      <c r="D14" s="574">
        <f>C14/'Table 1'!D95</f>
        <v>1.5171803334444229</v>
      </c>
      <c r="E14" s="580">
        <f>SUM('Table 9'!G8:G65,'Table 9'!G68:G79,'Table 9'!G82:G92)</f>
        <v>36562723</v>
      </c>
      <c r="F14" s="574">
        <f>E14/'Table 1'!D95</f>
        <v>3.5733736057208811</v>
      </c>
      <c r="G14" s="580">
        <f>SUM('Table 9'!M8:M65,'Table 9'!M68:M79,'Table 9'!M82:M92)</f>
        <v>13496305</v>
      </c>
      <c r="H14" s="574">
        <f>AVERAGE('Table 10'!K8:K65,'Table 10'!K68:K79,'Table 10'!K82:K92)</f>
        <v>5.6770193124896835</v>
      </c>
      <c r="I14" s="580">
        <f>SUM('Table 9'!N8:N65,'Table 9'!N68:N79,'Table 9'!N82:N92)</f>
        <v>57878758</v>
      </c>
      <c r="J14" s="609"/>
    </row>
    <row r="15" spans="1:10" x14ac:dyDescent="0.25">
      <c r="A15" s="122"/>
      <c r="B15" s="572" t="s">
        <v>2146</v>
      </c>
      <c r="C15" s="573"/>
      <c r="D15" s="573"/>
      <c r="E15" s="573"/>
      <c r="F15" s="573"/>
      <c r="G15" s="573"/>
      <c r="H15" s="573"/>
      <c r="I15" s="582"/>
    </row>
    <row r="16" spans="1:10" x14ac:dyDescent="0.25">
      <c r="A16" s="557"/>
      <c r="B16" s="622" t="s">
        <v>2147</v>
      </c>
      <c r="C16" s="623"/>
      <c r="D16" s="623"/>
      <c r="E16" s="623"/>
      <c r="F16" s="623"/>
      <c r="G16" s="623"/>
      <c r="H16" s="623"/>
      <c r="I16" s="624"/>
    </row>
    <row r="17" spans="1:11" x14ac:dyDescent="0.25">
      <c r="A17" s="122"/>
      <c r="B17" s="558"/>
      <c r="C17" s="559" t="s">
        <v>1922</v>
      </c>
      <c r="D17" s="560" t="s">
        <v>2148</v>
      </c>
      <c r="E17" s="559" t="s">
        <v>1873</v>
      </c>
      <c r="F17" s="560" t="s">
        <v>1915</v>
      </c>
      <c r="G17" s="559" t="s">
        <v>1926</v>
      </c>
      <c r="H17" s="561" t="s">
        <v>1873</v>
      </c>
      <c r="I17" s="562" t="s">
        <v>2149</v>
      </c>
    </row>
    <row r="18" spans="1:11" x14ac:dyDescent="0.25">
      <c r="A18" s="122"/>
      <c r="B18" s="568" t="s">
        <v>1888</v>
      </c>
      <c r="C18" s="583" t="s">
        <v>1919</v>
      </c>
      <c r="D18" s="584" t="s">
        <v>2150</v>
      </c>
      <c r="E18" s="583" t="s">
        <v>2151</v>
      </c>
      <c r="F18" s="584" t="s">
        <v>2150</v>
      </c>
      <c r="G18" s="583" t="s">
        <v>1923</v>
      </c>
      <c r="H18" s="570" t="s">
        <v>1923</v>
      </c>
      <c r="I18" s="571" t="s">
        <v>2152</v>
      </c>
    </row>
    <row r="19" spans="1:11" x14ac:dyDescent="0.25">
      <c r="A19" s="122"/>
      <c r="B19" s="572" t="s">
        <v>2142</v>
      </c>
      <c r="C19" s="573">
        <v>177206394</v>
      </c>
      <c r="D19" s="574">
        <f>C19/10056683</f>
        <v>17.62075964808675</v>
      </c>
      <c r="E19" s="585">
        <v>13518665</v>
      </c>
      <c r="F19" s="574">
        <f>E19/10056683</f>
        <v>1.3442469052668757</v>
      </c>
      <c r="G19" s="573">
        <v>1675778</v>
      </c>
      <c r="H19" s="573">
        <v>206160285</v>
      </c>
      <c r="I19" s="610">
        <f>H19/10056683</f>
        <v>20.49982931747973</v>
      </c>
      <c r="J19" s="609"/>
    </row>
    <row r="20" spans="1:11" x14ac:dyDescent="0.25">
      <c r="A20" s="122"/>
      <c r="B20" s="576" t="s">
        <v>2143</v>
      </c>
      <c r="C20" s="578">
        <v>183175780</v>
      </c>
      <c r="D20" s="574">
        <f>C20/10056683</f>
        <v>18.214333692331756</v>
      </c>
      <c r="E20" s="578">
        <v>13851494</v>
      </c>
      <c r="F20" s="574">
        <f>E20/10056683</f>
        <v>1.3773422111445692</v>
      </c>
      <c r="G20" s="578">
        <v>1606642</v>
      </c>
      <c r="H20" s="578">
        <v>212601150</v>
      </c>
      <c r="I20" s="610">
        <f>H20/10056683</f>
        <v>21.140285519589312</v>
      </c>
      <c r="J20" s="609"/>
    </row>
    <row r="21" spans="1:11" x14ac:dyDescent="0.25">
      <c r="A21" s="122"/>
      <c r="B21" s="572" t="s">
        <v>2144</v>
      </c>
      <c r="C21" s="580">
        <v>192488470</v>
      </c>
      <c r="D21" s="574">
        <f>C21/10056683</f>
        <v>19.140353732935601</v>
      </c>
      <c r="E21" s="580">
        <v>13231062</v>
      </c>
      <c r="F21" s="574">
        <f>E21/10056683</f>
        <v>1.3156487084260287</v>
      </c>
      <c r="G21" s="580">
        <v>1669041</v>
      </c>
      <c r="H21" s="580">
        <v>218302244</v>
      </c>
      <c r="I21" s="610">
        <f>H21/10056683</f>
        <v>21.707181582635148</v>
      </c>
      <c r="J21" s="609"/>
    </row>
    <row r="22" spans="1:11" x14ac:dyDescent="0.25">
      <c r="A22" s="122"/>
      <c r="B22" s="572" t="s">
        <v>2145</v>
      </c>
      <c r="C22" s="580">
        <v>197009535</v>
      </c>
      <c r="D22" s="574">
        <f>C22/10056683</f>
        <v>19.589912001800197</v>
      </c>
      <c r="E22" s="580">
        <v>14207033</v>
      </c>
      <c r="F22" s="574">
        <f>E22/10056683</f>
        <v>1.4126957168680767</v>
      </c>
      <c r="G22" s="580">
        <v>1811433</v>
      </c>
      <c r="H22" s="580">
        <v>223704770</v>
      </c>
      <c r="I22" s="610">
        <f>H22/10056683</f>
        <v>22.244389129099524</v>
      </c>
    </row>
    <row r="23" spans="1:11" x14ac:dyDescent="0.25">
      <c r="A23" s="122"/>
      <c r="B23" s="608" t="s">
        <v>2175</v>
      </c>
      <c r="C23" s="580">
        <f>'Table  4'!E95</f>
        <v>209514071</v>
      </c>
      <c r="D23" s="611">
        <f>C23/'Table 1'!D95</f>
        <v>20.476375661039544</v>
      </c>
      <c r="E23" s="580">
        <f>'Table  4'!H95</f>
        <v>14796434</v>
      </c>
      <c r="F23" s="610">
        <f>E23/'Table 1'!D95</f>
        <v>1.4460954320713761</v>
      </c>
      <c r="G23" s="580">
        <f>'Table  4'!K95</f>
        <v>1607567</v>
      </c>
      <c r="H23" s="580">
        <f>'Table  4'!M95</f>
        <v>236262819</v>
      </c>
      <c r="I23" s="610">
        <f>H23/'Table 1'!D95</f>
        <v>23.090603000980259</v>
      </c>
    </row>
    <row r="24" spans="1:11" x14ac:dyDescent="0.25">
      <c r="A24" s="557"/>
      <c r="B24" s="572" t="s">
        <v>2146</v>
      </c>
      <c r="C24" s="573"/>
      <c r="D24" s="573"/>
      <c r="E24" s="573"/>
      <c r="F24" s="573"/>
      <c r="G24" s="573"/>
      <c r="H24" s="573"/>
      <c r="I24" s="582"/>
    </row>
    <row r="25" spans="1:11" x14ac:dyDescent="0.25">
      <c r="A25" s="122"/>
      <c r="B25" s="622" t="s">
        <v>2153</v>
      </c>
      <c r="C25" s="623"/>
      <c r="D25" s="623"/>
      <c r="E25" s="623"/>
      <c r="F25" s="623"/>
      <c r="G25" s="623"/>
      <c r="H25" s="623"/>
      <c r="I25" s="624"/>
    </row>
    <row r="26" spans="1:11" x14ac:dyDescent="0.25">
      <c r="A26" s="122"/>
      <c r="B26" s="558"/>
      <c r="C26" s="559" t="s">
        <v>2010</v>
      </c>
      <c r="D26" s="560" t="s">
        <v>2010</v>
      </c>
      <c r="E26" s="559" t="s">
        <v>2138</v>
      </c>
      <c r="F26" s="560" t="s">
        <v>2138</v>
      </c>
      <c r="G26" s="559" t="s">
        <v>803</v>
      </c>
      <c r="H26" s="561" t="s">
        <v>803</v>
      </c>
      <c r="I26" s="562" t="s">
        <v>1873</v>
      </c>
    </row>
    <row r="27" spans="1:11" x14ac:dyDescent="0.25">
      <c r="A27" s="122"/>
      <c r="B27" s="568" t="s">
        <v>1888</v>
      </c>
      <c r="C27" s="583" t="s">
        <v>2154</v>
      </c>
      <c r="D27" s="584" t="s">
        <v>2150</v>
      </c>
      <c r="E27" s="583" t="s">
        <v>2154</v>
      </c>
      <c r="F27" s="584" t="s">
        <v>2150</v>
      </c>
      <c r="G27" s="583" t="s">
        <v>2154</v>
      </c>
      <c r="H27" s="570" t="s">
        <v>2150</v>
      </c>
      <c r="I27" s="571" t="s">
        <v>2150</v>
      </c>
    </row>
    <row r="28" spans="1:11" x14ac:dyDescent="0.25">
      <c r="A28" s="122"/>
      <c r="B28" s="572" t="s">
        <v>2142</v>
      </c>
      <c r="C28" s="580">
        <v>137651547</v>
      </c>
      <c r="D28" s="574">
        <f>C28/10056683</f>
        <v>13.687569450086077</v>
      </c>
      <c r="E28" s="580">
        <v>20902474</v>
      </c>
      <c r="F28" s="574">
        <f>E28/10056683</f>
        <v>2.0784660309965024</v>
      </c>
      <c r="G28" s="580">
        <v>36340875</v>
      </c>
      <c r="H28" s="574">
        <f>G28/10056683</f>
        <v>3.6136045055810153</v>
      </c>
      <c r="I28" s="586">
        <v>19.379639986663594</v>
      </c>
      <c r="K28" s="1"/>
    </row>
    <row r="29" spans="1:11" x14ac:dyDescent="0.25">
      <c r="A29" s="122"/>
      <c r="B29" s="576" t="s">
        <v>2143</v>
      </c>
      <c r="C29" s="587">
        <v>142247644</v>
      </c>
      <c r="D29" s="574">
        <f>C29/10056683</f>
        <v>14.14458862827833</v>
      </c>
      <c r="E29" s="588">
        <v>21679327</v>
      </c>
      <c r="F29" s="574">
        <f>E29/10056683</f>
        <v>2.1557134693417304</v>
      </c>
      <c r="G29" s="587">
        <v>38479511</v>
      </c>
      <c r="H29" s="574">
        <f>G29/10056683</f>
        <v>3.8262626951649961</v>
      </c>
      <c r="I29" s="586">
        <v>20.126564792785057</v>
      </c>
      <c r="K29" s="1"/>
    </row>
    <row r="30" spans="1:11" x14ac:dyDescent="0.25">
      <c r="A30" s="122"/>
      <c r="B30" s="572" t="s">
        <v>2144</v>
      </c>
      <c r="C30" s="580">
        <v>148060276</v>
      </c>
      <c r="D30" s="574">
        <f>C30/10056683</f>
        <v>14.722575624587153</v>
      </c>
      <c r="E30" s="580">
        <v>22816663</v>
      </c>
      <c r="F30" s="574">
        <f>E30/10056683</f>
        <v>2.2688060267982992</v>
      </c>
      <c r="G30" s="580">
        <v>39498035</v>
      </c>
      <c r="H30" s="574">
        <f>G30/10056683</f>
        <v>3.9275410192406381</v>
      </c>
      <c r="I30" s="586">
        <v>20.918922670626092</v>
      </c>
      <c r="K30" s="1"/>
    </row>
    <row r="31" spans="1:11" x14ac:dyDescent="0.25">
      <c r="A31" s="122"/>
      <c r="B31" s="572" t="s">
        <v>2145</v>
      </c>
      <c r="C31" s="580">
        <v>151564562</v>
      </c>
      <c r="D31" s="574">
        <f>C31/10056683</f>
        <v>15.071029085832775</v>
      </c>
      <c r="E31" s="580">
        <v>23318997</v>
      </c>
      <c r="F31" s="574">
        <f>E31/10056683</f>
        <v>2.3187562937004178</v>
      </c>
      <c r="G31" s="580">
        <v>41407747</v>
      </c>
      <c r="H31" s="574">
        <f>G31/10056683</f>
        <v>4.1174358384369878</v>
      </c>
      <c r="I31" s="586">
        <v>21.50722121797018</v>
      </c>
      <c r="K31" s="1"/>
    </row>
    <row r="32" spans="1:11" x14ac:dyDescent="0.25">
      <c r="A32" s="557"/>
      <c r="B32" s="608" t="s">
        <v>2175</v>
      </c>
      <c r="C32" s="580">
        <f>SUM('Table 6'!C8:C65,'Table 6'!C68:C79,'Table 6'!C82:C92)</f>
        <v>157518816</v>
      </c>
      <c r="D32" s="611">
        <f>C32/'Table 1'!D95</f>
        <v>15.394739048806732</v>
      </c>
      <c r="E32" s="580">
        <f>SUM('Table 6'!F8:F65,'Table 6'!F68:F78,'Table 6'!F82:F92)</f>
        <v>25610589</v>
      </c>
      <c r="F32" s="611">
        <f>E32/'Table 1'!D95</f>
        <v>2.5029919888506535</v>
      </c>
      <c r="G32" s="580">
        <f>SUM('Table 6'!I8:I65,'Table 6'!I68:I79,'Table 6'!I82:I92)</f>
        <v>42826978</v>
      </c>
      <c r="H32" s="611">
        <f>G32/'Table 1'!D95</f>
        <v>4.1855961548046858</v>
      </c>
      <c r="I32" s="586">
        <f>SUM('Table 6'!L8:L65,'Table 6'!L68:L79,'Table 6'!L82:L92)/'Table 1'!D95</f>
        <v>22.117017999431194</v>
      </c>
      <c r="J32" s="609"/>
      <c r="K32" s="1"/>
    </row>
    <row r="33" spans="1:10" x14ac:dyDescent="0.25">
      <c r="A33" s="122"/>
      <c r="B33" s="572" t="s">
        <v>2146</v>
      </c>
      <c r="C33" s="573"/>
      <c r="D33" s="573"/>
      <c r="E33" s="573"/>
      <c r="F33" s="573"/>
      <c r="G33" s="573"/>
      <c r="H33" s="573"/>
      <c r="I33" s="582"/>
    </row>
    <row r="34" spans="1:10" x14ac:dyDescent="0.25">
      <c r="A34" s="122"/>
      <c r="B34" s="622" t="s">
        <v>2155</v>
      </c>
      <c r="C34" s="623"/>
      <c r="D34" s="623"/>
      <c r="E34" s="623"/>
      <c r="F34" s="623"/>
      <c r="G34" s="623"/>
      <c r="H34" s="623"/>
      <c r="I34" s="624"/>
    </row>
    <row r="35" spans="1:10" x14ac:dyDescent="0.25">
      <c r="A35" s="122"/>
      <c r="B35" s="558"/>
      <c r="C35" s="559"/>
      <c r="D35" s="560" t="s">
        <v>2076</v>
      </c>
      <c r="E35" s="559"/>
      <c r="F35" s="560" t="s">
        <v>2156</v>
      </c>
      <c r="G35" s="559"/>
      <c r="H35" s="561" t="s">
        <v>2157</v>
      </c>
      <c r="I35" s="562"/>
    </row>
    <row r="36" spans="1:10" x14ac:dyDescent="0.25">
      <c r="A36" s="122"/>
      <c r="B36" s="563"/>
      <c r="C36" s="564" t="s">
        <v>2076</v>
      </c>
      <c r="D36" s="565" t="s">
        <v>2158</v>
      </c>
      <c r="E36" s="564" t="s">
        <v>2075</v>
      </c>
      <c r="F36" s="565" t="s">
        <v>2080</v>
      </c>
      <c r="G36" s="564" t="s">
        <v>2121</v>
      </c>
      <c r="H36" s="566" t="s">
        <v>2159</v>
      </c>
      <c r="I36" s="567" t="s">
        <v>2160</v>
      </c>
    </row>
    <row r="37" spans="1:10" x14ac:dyDescent="0.25">
      <c r="A37" s="122"/>
      <c r="B37" s="568" t="s">
        <v>1888</v>
      </c>
      <c r="C37" s="583" t="s">
        <v>2158</v>
      </c>
      <c r="D37" s="584" t="s">
        <v>2045</v>
      </c>
      <c r="E37" s="583" t="s">
        <v>2080</v>
      </c>
      <c r="F37" s="584" t="s">
        <v>2045</v>
      </c>
      <c r="G37" s="583" t="s">
        <v>2161</v>
      </c>
      <c r="H37" s="570" t="s">
        <v>2162</v>
      </c>
      <c r="I37" s="571" t="s">
        <v>2163</v>
      </c>
    </row>
    <row r="38" spans="1:10" x14ac:dyDescent="0.25">
      <c r="A38" s="122"/>
      <c r="B38" s="572" t="s">
        <v>2142</v>
      </c>
      <c r="C38" s="573">
        <v>9103160</v>
      </c>
      <c r="D38" s="574">
        <f>C38/10056683</f>
        <v>0.90518513907617448</v>
      </c>
      <c r="E38" s="585">
        <v>35655287</v>
      </c>
      <c r="F38" s="574">
        <f>E38/10056683</f>
        <v>3.5454321270741058</v>
      </c>
      <c r="G38" s="573">
        <v>5441968</v>
      </c>
      <c r="H38" s="589">
        <v>8582110</v>
      </c>
      <c r="I38" s="575">
        <v>919597</v>
      </c>
    </row>
    <row r="39" spans="1:10" x14ac:dyDescent="0.25">
      <c r="A39" s="122"/>
      <c r="B39" s="576" t="s">
        <v>2143</v>
      </c>
      <c r="C39" s="590">
        <v>6723220</v>
      </c>
      <c r="D39" s="574">
        <f>C39/10056683</f>
        <v>0.66853255690768021</v>
      </c>
      <c r="E39" s="591">
        <v>35106249</v>
      </c>
      <c r="F39" s="574">
        <f>E39/10056683</f>
        <v>3.4908377841878879</v>
      </c>
      <c r="G39" s="578">
        <v>5059879</v>
      </c>
      <c r="H39" s="578">
        <v>7806189</v>
      </c>
      <c r="I39" s="579">
        <v>920240</v>
      </c>
    </row>
    <row r="40" spans="1:10" x14ac:dyDescent="0.25">
      <c r="A40" s="122"/>
      <c r="B40" s="572" t="s">
        <v>2144</v>
      </c>
      <c r="C40" s="580">
        <v>6718938</v>
      </c>
      <c r="D40" s="574">
        <f>C40/10056683</f>
        <v>0.66810677039337918</v>
      </c>
      <c r="E40" s="580">
        <v>35523633</v>
      </c>
      <c r="F40" s="574">
        <f>E40/10056683</f>
        <v>3.5323409318957353</v>
      </c>
      <c r="G40" s="580">
        <v>5128357</v>
      </c>
      <c r="H40" s="592">
        <v>7340714</v>
      </c>
      <c r="I40" s="582">
        <v>928242</v>
      </c>
    </row>
    <row r="41" spans="1:10" x14ac:dyDescent="0.25">
      <c r="A41" s="557"/>
      <c r="B41" s="572" t="s">
        <v>2145</v>
      </c>
      <c r="C41" s="580">
        <v>6421224</v>
      </c>
      <c r="D41" s="574">
        <f>C41/10056683</f>
        <v>0.63850317246750243</v>
      </c>
      <c r="E41" s="580">
        <v>33462021</v>
      </c>
      <c r="F41" s="574">
        <f>E41/10056683</f>
        <v>3.3273417288781997</v>
      </c>
      <c r="G41" s="580">
        <v>5497023</v>
      </c>
      <c r="H41" s="592">
        <v>6576183</v>
      </c>
      <c r="I41" s="582">
        <v>943313</v>
      </c>
    </row>
    <row r="42" spans="1:10" x14ac:dyDescent="0.25">
      <c r="A42" s="122"/>
      <c r="B42" s="608" t="s">
        <v>2175</v>
      </c>
      <c r="C42" s="592">
        <f>'Table 11'!I95</f>
        <v>6946172</v>
      </c>
      <c r="D42" s="611">
        <f>C42/'Table 1'!D95</f>
        <v>0.67886813806502944</v>
      </c>
      <c r="E42" s="592">
        <f>'Table 11'!G95</f>
        <v>32621293</v>
      </c>
      <c r="F42" s="611">
        <f>E42/'Table 1'!D95</f>
        <v>3.1881670134548608</v>
      </c>
      <c r="G42" s="592">
        <f>'Table 11'!E95</f>
        <v>5647452</v>
      </c>
      <c r="H42" s="592">
        <f>'Table 13'!G96</f>
        <v>5924918</v>
      </c>
      <c r="I42" s="582">
        <f>SUM('Table 1'!I82:I92,'Table 1'!I68:I79,'Table 1'!I8:I65)</f>
        <v>944993</v>
      </c>
      <c r="J42" s="609"/>
    </row>
    <row r="43" spans="1:10" x14ac:dyDescent="0.25">
      <c r="A43" s="122"/>
      <c r="B43" s="572" t="s">
        <v>2146</v>
      </c>
      <c r="C43" s="573"/>
      <c r="D43" s="573"/>
      <c r="E43" s="573"/>
      <c r="F43" s="573"/>
      <c r="G43" s="573"/>
      <c r="H43" s="573"/>
      <c r="I43" s="582"/>
    </row>
    <row r="44" spans="1:10" x14ac:dyDescent="0.25">
      <c r="A44" s="122"/>
      <c r="B44" s="622" t="s">
        <v>2164</v>
      </c>
      <c r="C44" s="623"/>
      <c r="D44" s="623"/>
      <c r="E44" s="623"/>
      <c r="F44" s="623"/>
      <c r="G44" s="623"/>
      <c r="H44" s="623"/>
      <c r="I44" s="624"/>
    </row>
    <row r="45" spans="1:10" x14ac:dyDescent="0.25">
      <c r="A45" s="122"/>
      <c r="B45" s="558"/>
      <c r="C45" s="559" t="s">
        <v>1873</v>
      </c>
      <c r="D45" s="560" t="s">
        <v>2165</v>
      </c>
      <c r="E45" s="559" t="s">
        <v>2097</v>
      </c>
      <c r="F45" s="560" t="s">
        <v>1873</v>
      </c>
      <c r="G45" s="559" t="s">
        <v>1873</v>
      </c>
      <c r="H45" s="561" t="s">
        <v>2166</v>
      </c>
      <c r="I45" s="562" t="s">
        <v>2167</v>
      </c>
    </row>
    <row r="46" spans="1:10" x14ac:dyDescent="0.25">
      <c r="A46" s="122"/>
      <c r="B46" s="568" t="s">
        <v>1888</v>
      </c>
      <c r="C46" s="583" t="s">
        <v>2168</v>
      </c>
      <c r="D46" s="584" t="s">
        <v>2097</v>
      </c>
      <c r="E46" s="583" t="s">
        <v>2045</v>
      </c>
      <c r="F46" s="584" t="s">
        <v>2169</v>
      </c>
      <c r="G46" s="583" t="s">
        <v>317</v>
      </c>
      <c r="H46" s="570" t="s">
        <v>2170</v>
      </c>
      <c r="I46" s="571" t="s">
        <v>2171</v>
      </c>
    </row>
    <row r="47" spans="1:10" x14ac:dyDescent="0.25">
      <c r="A47" s="122"/>
      <c r="B47" s="572" t="s">
        <v>2142</v>
      </c>
      <c r="C47" s="594">
        <v>111799</v>
      </c>
      <c r="D47" s="595">
        <v>2592184</v>
      </c>
      <c r="E47" s="574">
        <f>D47/10056683</f>
        <v>0.25775735399037636</v>
      </c>
      <c r="F47" s="595">
        <v>717.02999999999986</v>
      </c>
      <c r="G47" s="595">
        <v>2881.07</v>
      </c>
      <c r="H47" s="593">
        <f>G47/(10056683/25000)</f>
        <v>7.1620781921832481</v>
      </c>
      <c r="I47" s="596">
        <v>0.2488762855466892</v>
      </c>
    </row>
    <row r="48" spans="1:10" x14ac:dyDescent="0.25">
      <c r="A48" s="122"/>
      <c r="B48" s="576" t="s">
        <v>2143</v>
      </c>
      <c r="C48" s="577">
        <v>120019</v>
      </c>
      <c r="D48" s="577">
        <v>2605492</v>
      </c>
      <c r="E48" s="574">
        <f>D48/10056683</f>
        <v>0.25908065313384143</v>
      </c>
      <c r="F48" s="597">
        <v>718.87999999999988</v>
      </c>
      <c r="G48" s="598">
        <v>2906.83</v>
      </c>
      <c r="H48" s="593">
        <f>G48/(10056683/25000)</f>
        <v>7.2261152111486462</v>
      </c>
      <c r="I48" s="599">
        <v>0.2473072040676613</v>
      </c>
    </row>
    <row r="49" spans="2:10" x14ac:dyDescent="0.25">
      <c r="B49" s="572" t="s">
        <v>2144</v>
      </c>
      <c r="C49" s="600">
        <v>126622</v>
      </c>
      <c r="D49" s="600">
        <v>2697782</v>
      </c>
      <c r="E49" s="574">
        <f>D49/10056683</f>
        <v>0.26825763524613433</v>
      </c>
      <c r="F49" s="600">
        <v>743.64</v>
      </c>
      <c r="G49" s="600">
        <v>2966.3499999999995</v>
      </c>
      <c r="H49" s="593">
        <f>G49/(10056683/25000)</f>
        <v>7.3740765220500624</v>
      </c>
      <c r="I49" s="601">
        <v>0.20174361498595209</v>
      </c>
    </row>
    <row r="50" spans="2:10" x14ac:dyDescent="0.25">
      <c r="B50" s="572" t="s">
        <v>2145</v>
      </c>
      <c r="C50" s="612">
        <v>141704</v>
      </c>
      <c r="D50" s="600">
        <v>2969203</v>
      </c>
      <c r="E50" s="613">
        <f>D50/10056683</f>
        <v>0.29524675283092844</v>
      </c>
      <c r="F50" s="600">
        <v>763.56</v>
      </c>
      <c r="G50" s="600">
        <v>3038.36</v>
      </c>
      <c r="H50" s="614">
        <f>G50/(10056683/25000)</f>
        <v>7.5530868378768634</v>
      </c>
      <c r="I50" s="601">
        <v>0.25130000000000002</v>
      </c>
    </row>
    <row r="51" spans="2:10" x14ac:dyDescent="0.25">
      <c r="B51" s="615" t="s">
        <v>2175</v>
      </c>
      <c r="C51" s="600">
        <f>'Table 12'!H95</f>
        <v>146417</v>
      </c>
      <c r="D51" s="600">
        <f>'Table 12'!N95</f>
        <v>3027660</v>
      </c>
      <c r="E51" s="574">
        <f>D51/'Table 1'!D95</f>
        <v>0.29590138379728675</v>
      </c>
      <c r="F51" s="600">
        <f>SUM('Table 2'!C8:C65)</f>
        <v>669.43000000000006</v>
      </c>
      <c r="G51" s="600">
        <f>SUM('Table 2'!G8:G65,'Table 2'!G68:G79,'Table 2'!G82:G92)</f>
        <v>3059.0300000000016</v>
      </c>
      <c r="H51" s="593">
        <f>G51/('Table 1'!D95/25000)</f>
        <v>7.474181464211755</v>
      </c>
      <c r="I51" s="601">
        <f>AVERAGE('Table 2'!I8:I65,'Table 2'!I68:I79,'Table 2'!I82:I92)</f>
        <v>0.20592469135802474</v>
      </c>
      <c r="J51" s="609"/>
    </row>
    <row r="52" spans="2:10" ht="15.75" thickBot="1" x14ac:dyDescent="0.3">
      <c r="B52" s="602" t="s">
        <v>2146</v>
      </c>
      <c r="C52" s="603"/>
      <c r="D52" s="603"/>
      <c r="E52" s="603"/>
      <c r="F52" s="603"/>
      <c r="G52" s="603"/>
      <c r="H52" s="603"/>
      <c r="I52" s="604"/>
    </row>
    <row r="53" spans="2:10" ht="15.75" thickTop="1" x14ac:dyDescent="0.25"/>
    <row r="54" spans="2:10" x14ac:dyDescent="0.25">
      <c r="B54" s="605"/>
    </row>
    <row r="55" spans="2:10" x14ac:dyDescent="0.25">
      <c r="B55" s="606" t="s">
        <v>2172</v>
      </c>
    </row>
    <row r="56" spans="2:10" x14ac:dyDescent="0.25">
      <c r="B56" s="607" t="s">
        <v>2173</v>
      </c>
    </row>
  </sheetData>
  <mergeCells count="10">
    <mergeCell ref="B16:I16"/>
    <mergeCell ref="B25:I25"/>
    <mergeCell ref="B34:I34"/>
    <mergeCell ref="B44:I44"/>
    <mergeCell ref="B1:I1"/>
    <mergeCell ref="A2:I2"/>
    <mergeCell ref="A3:I3"/>
    <mergeCell ref="B4:I4"/>
    <mergeCell ref="B5:I5"/>
    <mergeCell ref="B6:I6"/>
  </mergeCells>
  <pageMargins left="0.7" right="0.7" top="0.75" bottom="0.75" header="0.3" footer="0.3"/>
  <ignoredErrors>
    <ignoredError sqref="E14 E23 E32 E42 G32" formula="1"/>
  </ignoredError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negative="1" xr2:uid="{00000000-0003-0000-00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Summary!C10:C14</xm:f>
              <xm:sqref>C15</xm:sqref>
            </x14:sparkline>
            <x14:sparkline>
              <xm:f>Summary!D10:D14</xm:f>
              <xm:sqref>D15</xm:sqref>
            </x14:sparkline>
            <x14:sparkline>
              <xm:f>Summary!E10:E14</xm:f>
              <xm:sqref>E15</xm:sqref>
            </x14:sparkline>
            <x14:sparkline>
              <xm:f>Summary!F10:F14</xm:f>
              <xm:sqref>F15</xm:sqref>
            </x14:sparkline>
            <x14:sparkline>
              <xm:f>Summary!G10:G14</xm:f>
              <xm:sqref>G15</xm:sqref>
            </x14:sparkline>
            <x14:sparkline>
              <xm:f>Summary!H10:H14</xm:f>
              <xm:sqref>H15</xm:sqref>
            </x14:sparkline>
            <x14:sparkline>
              <xm:f>Summary!I10:I14</xm:f>
              <xm:sqref>I15</xm:sqref>
            </x14:sparkline>
          </x14:sparklines>
        </x14:sparklineGroup>
        <x14:sparklineGroup manualMax="0" manualMin="0" displayEmptyCellsAs="gap" xr2:uid="{00000000-0003-0000-00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Summary!C47:C51</xm:f>
              <xm:sqref>C52</xm:sqref>
            </x14:sparkline>
            <x14:sparkline>
              <xm:f>Summary!D47:D51</xm:f>
              <xm:sqref>D52</xm:sqref>
            </x14:sparkline>
            <x14:sparkline>
              <xm:f>Summary!E47:E51</xm:f>
              <xm:sqref>E52</xm:sqref>
            </x14:sparkline>
            <x14:sparkline>
              <xm:f>Summary!F47:F51</xm:f>
              <xm:sqref>F52</xm:sqref>
            </x14:sparkline>
            <x14:sparkline>
              <xm:f>Summary!G47:G51</xm:f>
              <xm:sqref>G52</xm:sqref>
            </x14:sparkline>
            <x14:sparkline>
              <xm:f>Summary!H47:H51</xm:f>
              <xm:sqref>H52</xm:sqref>
            </x14:sparkline>
            <x14:sparkline>
              <xm:f>Summary!I47:I51</xm:f>
              <xm:sqref>I52</xm:sqref>
            </x14:sparkline>
          </x14:sparklines>
        </x14:sparklineGroup>
        <x14:sparklineGroup manualMax="0" manualMin="0" displayEmptyCellsAs="gap" xr2:uid="{00000000-0003-0000-00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Summary!C38:C42</xm:f>
              <xm:sqref>C43</xm:sqref>
            </x14:sparkline>
            <x14:sparkline>
              <xm:f>Summary!D38:D42</xm:f>
              <xm:sqref>D43</xm:sqref>
            </x14:sparkline>
            <x14:sparkline>
              <xm:f>Summary!E38:E42</xm:f>
              <xm:sqref>E43</xm:sqref>
            </x14:sparkline>
            <x14:sparkline>
              <xm:f>Summary!F38:F42</xm:f>
              <xm:sqref>F43</xm:sqref>
            </x14:sparkline>
            <x14:sparkline>
              <xm:f>Summary!G38:G42</xm:f>
              <xm:sqref>G43</xm:sqref>
            </x14:sparkline>
            <x14:sparkline>
              <xm:f>Summary!H38:H42</xm:f>
              <xm:sqref>H43</xm:sqref>
            </x14:sparkline>
            <x14:sparkline>
              <xm:f>Summary!I38:I42</xm:f>
              <xm:sqref>I43</xm:sqref>
            </x14:sparkline>
          </x14:sparklines>
        </x14:sparklineGroup>
        <x14:sparklineGroup manualMax="0" manualMin="0" displayEmptyCellsAs="gap" xr2:uid="{00000000-0003-0000-00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Summary!C28:C32</xm:f>
              <xm:sqref>C33</xm:sqref>
            </x14:sparkline>
            <x14:sparkline>
              <xm:f>Summary!D28:D32</xm:f>
              <xm:sqref>D33</xm:sqref>
            </x14:sparkline>
            <x14:sparkline>
              <xm:f>Summary!E28:E32</xm:f>
              <xm:sqref>E33</xm:sqref>
            </x14:sparkline>
            <x14:sparkline>
              <xm:f>Summary!F28:F32</xm:f>
              <xm:sqref>F33</xm:sqref>
            </x14:sparkline>
            <x14:sparkline>
              <xm:f>Summary!G28:G32</xm:f>
              <xm:sqref>G33</xm:sqref>
            </x14:sparkline>
            <x14:sparkline>
              <xm:f>Summary!H28:H32</xm:f>
              <xm:sqref>H33</xm:sqref>
            </x14:sparkline>
            <x14:sparkline>
              <xm:f>Summary!I28:I32</xm:f>
              <xm:sqref>I33</xm:sqref>
            </x14:sparkline>
          </x14:sparklines>
        </x14:sparklineGroup>
        <x14:sparklineGroup manualMax="0" manualMin="0" displayEmptyCellsAs="gap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Summary!C19:C23</xm:f>
              <xm:sqref>C24</xm:sqref>
            </x14:sparkline>
            <x14:sparkline>
              <xm:f>Summary!D19:D23</xm:f>
              <xm:sqref>D24</xm:sqref>
            </x14:sparkline>
            <x14:sparkline>
              <xm:f>Summary!E19:E23</xm:f>
              <xm:sqref>E24</xm:sqref>
            </x14:sparkline>
            <x14:sparkline>
              <xm:f>Summary!F19:F23</xm:f>
              <xm:sqref>F24</xm:sqref>
            </x14:sparkline>
            <x14:sparkline>
              <xm:f>Summary!G19:G23</xm:f>
              <xm:sqref>G24</xm:sqref>
            </x14:sparkline>
            <x14:sparkline>
              <xm:f>Summary!H19:H23</xm:f>
              <xm:sqref>H24</xm:sqref>
            </x14:sparkline>
            <x14:sparkline>
              <xm:f>Summary!I19:I23</xm:f>
              <xm:sqref>I24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7"/>
  <sheetViews>
    <sheetView workbookViewId="0">
      <selection activeCell="R23" sqref="R23"/>
    </sheetView>
  </sheetViews>
  <sheetFormatPr defaultColWidth="8.85546875" defaultRowHeight="15" x14ac:dyDescent="0.25"/>
  <cols>
    <col min="1" max="1" width="7.140625" style="405" customWidth="1"/>
    <col min="2" max="2" width="21.28515625" style="405" customWidth="1"/>
    <col min="3" max="3" width="10.85546875" style="76" customWidth="1"/>
    <col min="4" max="4" width="11.28515625" style="76" customWidth="1"/>
    <col min="5" max="5" width="10.28515625" style="76" customWidth="1"/>
    <col min="6" max="6" width="10" style="76" customWidth="1"/>
    <col min="7" max="7" width="11.42578125" style="76" customWidth="1"/>
    <col min="8" max="8" width="11" style="76" customWidth="1"/>
    <col min="9" max="12" width="11.42578125" style="76" customWidth="1"/>
    <col min="13" max="13" width="13.140625" style="76" customWidth="1"/>
    <col min="14" max="14" width="13.7109375" customWidth="1"/>
    <col min="15" max="16" width="8.85546875" style="405"/>
    <col min="17" max="18" width="11.5703125" style="405" bestFit="1" customWidth="1"/>
    <col min="19" max="16384" width="8.85546875" style="405"/>
  </cols>
  <sheetData>
    <row r="1" spans="1:18" x14ac:dyDescent="0.25">
      <c r="A1" s="16"/>
      <c r="B1" s="16"/>
      <c r="M1" s="15" t="s">
        <v>2271</v>
      </c>
    </row>
    <row r="2" spans="1:18" ht="15.75" x14ac:dyDescent="0.25">
      <c r="A2" s="207" t="s">
        <v>2048</v>
      </c>
      <c r="B2" s="371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22" t="s">
        <v>2004</v>
      </c>
    </row>
    <row r="3" spans="1:18" ht="15.75" thickBot="1" x14ac:dyDescent="0.3">
      <c r="A3" s="371"/>
      <c r="B3" s="371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7"/>
    </row>
    <row r="4" spans="1:18" ht="15.75" customHeight="1" thickTop="1" x14ac:dyDescent="0.2">
      <c r="A4" s="96"/>
      <c r="B4" s="638"/>
      <c r="C4" s="685" t="s">
        <v>2049</v>
      </c>
      <c r="D4" s="686"/>
      <c r="E4" s="686"/>
      <c r="F4" s="686"/>
      <c r="G4" s="687"/>
      <c r="H4" s="685" t="s">
        <v>2050</v>
      </c>
      <c r="I4" s="686"/>
      <c r="J4" s="686"/>
      <c r="K4" s="686"/>
      <c r="L4" s="26"/>
      <c r="M4" s="644" t="s">
        <v>2051</v>
      </c>
      <c r="N4" s="688" t="s">
        <v>235</v>
      </c>
    </row>
    <row r="5" spans="1:18" ht="15" customHeight="1" x14ac:dyDescent="0.2">
      <c r="A5" s="99"/>
      <c r="B5" s="683"/>
      <c r="C5" s="408" t="s">
        <v>2023</v>
      </c>
      <c r="D5" s="409" t="s">
        <v>2052</v>
      </c>
      <c r="E5" s="409" t="s">
        <v>2025</v>
      </c>
      <c r="F5" s="410"/>
      <c r="G5" s="408" t="s">
        <v>2053</v>
      </c>
      <c r="H5" s="408" t="s">
        <v>2028</v>
      </c>
      <c r="I5" s="409" t="s">
        <v>2029</v>
      </c>
      <c r="J5" s="411"/>
      <c r="K5" s="412"/>
      <c r="L5" s="413"/>
      <c r="M5" s="633"/>
      <c r="N5" s="689"/>
    </row>
    <row r="6" spans="1:18" ht="15.75" customHeight="1" thickBot="1" x14ac:dyDescent="0.25">
      <c r="A6" s="103"/>
      <c r="B6" s="684"/>
      <c r="C6" s="30" t="s">
        <v>2031</v>
      </c>
      <c r="D6" s="30" t="s">
        <v>2031</v>
      </c>
      <c r="E6" s="30" t="s">
        <v>2031</v>
      </c>
      <c r="F6" s="414" t="s">
        <v>2054</v>
      </c>
      <c r="G6" s="415" t="s">
        <v>1905</v>
      </c>
      <c r="H6" s="30" t="s">
        <v>2034</v>
      </c>
      <c r="I6" s="30" t="s">
        <v>2035</v>
      </c>
      <c r="J6" s="30" t="s">
        <v>2036</v>
      </c>
      <c r="K6" s="415" t="s">
        <v>2055</v>
      </c>
      <c r="L6" s="416" t="s">
        <v>2056</v>
      </c>
      <c r="M6" s="634"/>
      <c r="N6" s="690"/>
    </row>
    <row r="7" spans="1:18" ht="15.75" thickTop="1" thickBot="1" x14ac:dyDescent="0.25">
      <c r="A7" s="34"/>
      <c r="B7" s="49" t="s">
        <v>1863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9"/>
      <c r="N7" s="417"/>
    </row>
    <row r="8" spans="1:18" thickTop="1" x14ac:dyDescent="0.2">
      <c r="A8" s="40" t="s">
        <v>666</v>
      </c>
      <c r="B8" s="40" t="s">
        <v>1927</v>
      </c>
      <c r="C8" s="358">
        <f>VLOOKUP($A8,[0]!Data,208,FALSE)</f>
        <v>224401</v>
      </c>
      <c r="D8" s="358">
        <f>VLOOKUP($A8,[0]!Data,209,FALSE)</f>
        <v>20176</v>
      </c>
      <c r="E8" s="358">
        <f>VLOOKUP($A8,[0]!Data,210,FALSE)</f>
        <v>197790</v>
      </c>
      <c r="F8" s="358">
        <f>VLOOKUP($A8,[0]!Data,212,FALSE)</f>
        <v>6178</v>
      </c>
      <c r="G8" s="358">
        <f>VLOOKUP($A8,[0]!Data,213,FALSE)</f>
        <v>448916</v>
      </c>
      <c r="H8" s="358">
        <f>VLOOKUP($A8,[0]!Data,214,FALSE)+VLOOKUP($A8,[0]!Data,225,FALSE)</f>
        <v>61526</v>
      </c>
      <c r="I8" s="358">
        <f>VLOOKUP($A8,[0]!Data,215,FALSE)+VLOOKUP($A8,[0]!Data,228,FALSE)</f>
        <v>295897</v>
      </c>
      <c r="J8" s="358">
        <f>VLOOKUP($A8,[0]!Data,222,FALSE)</f>
        <v>11089</v>
      </c>
      <c r="K8" s="358">
        <f>VLOOKUP($A8,[0]!Data,229,FALSE)</f>
        <v>3333</v>
      </c>
      <c r="L8" s="358">
        <f>VLOOKUP($A8,[0]!Data,233,FALSE)</f>
        <v>154126</v>
      </c>
      <c r="M8" s="358">
        <f>VLOOKUP($A8,[0]!Data,234,FALSE)</f>
        <v>176635</v>
      </c>
      <c r="N8" s="425">
        <f>VLOOKUP($A8,[0]!Data,239,FALSE)</f>
        <v>988302</v>
      </c>
    </row>
    <row r="9" spans="1:18" ht="14.25" x14ac:dyDescent="0.2">
      <c r="A9" s="40" t="s">
        <v>711</v>
      </c>
      <c r="B9" s="40" t="s">
        <v>1928</v>
      </c>
      <c r="C9" s="358">
        <f>VLOOKUP($A9,[0]!Data,208,FALSE)</f>
        <v>27203</v>
      </c>
      <c r="D9" s="358">
        <f>VLOOKUP($A9,[0]!Data,209,FALSE)</f>
        <v>4638</v>
      </c>
      <c r="E9" s="358">
        <f>VLOOKUP($A9,[0]!Data,210,FALSE)</f>
        <v>26945</v>
      </c>
      <c r="F9" s="358">
        <f>VLOOKUP($A9,[0]!Data,212,FALSE)</f>
        <v>0</v>
      </c>
      <c r="G9" s="358">
        <f>VLOOKUP($A9,[0]!Data,213,FALSE)</f>
        <v>58951</v>
      </c>
      <c r="H9" s="358">
        <f>VLOOKUP($A9,[0]!Data,214,FALSE)+VLOOKUP($A9,[0]!Data,225,FALSE)</f>
        <v>4629</v>
      </c>
      <c r="I9" s="358">
        <f>VLOOKUP($A9,[0]!Data,215,FALSE)+VLOOKUP($A9,[0]!Data,228,FALSE)</f>
        <v>18556</v>
      </c>
      <c r="J9" s="358">
        <f>VLOOKUP($A9,[0]!Data,222,FALSE)</f>
        <v>240</v>
      </c>
      <c r="K9" s="358">
        <f>VLOOKUP($A9,[0]!Data,229,FALSE)</f>
        <v>0</v>
      </c>
      <c r="L9" s="358">
        <f>VLOOKUP($A9,[0]!Data,233,FALSE)</f>
        <v>6950</v>
      </c>
      <c r="M9" s="358">
        <f>VLOOKUP($A9,[0]!Data,234,FALSE)</f>
        <v>7969</v>
      </c>
      <c r="N9" s="420">
        <f>VLOOKUP($A9,[0]!Data,239,FALSE)</f>
        <v>89328</v>
      </c>
    </row>
    <row r="10" spans="1:18" ht="14.25" x14ac:dyDescent="0.2">
      <c r="A10" s="40" t="s">
        <v>775</v>
      </c>
      <c r="B10" s="40" t="s">
        <v>1929</v>
      </c>
      <c r="C10" s="358">
        <f>VLOOKUP($A10,[0]!Data,208,FALSE)</f>
        <v>12780</v>
      </c>
      <c r="D10" s="358">
        <f>VLOOKUP($A10,[0]!Data,209,FALSE)</f>
        <v>18</v>
      </c>
      <c r="E10" s="358">
        <f>VLOOKUP($A10,[0]!Data,210,FALSE)</f>
        <v>13801</v>
      </c>
      <c r="F10" s="358">
        <f>VLOOKUP($A10,[0]!Data,212,FALSE)</f>
        <v>23</v>
      </c>
      <c r="G10" s="358">
        <f>VLOOKUP($A10,[0]!Data,213,FALSE)</f>
        <v>26658</v>
      </c>
      <c r="H10" s="358">
        <f>VLOOKUP($A10,[0]!Data,214,FALSE)+VLOOKUP($A10,[0]!Data,225,FALSE)</f>
        <v>1727</v>
      </c>
      <c r="I10" s="358">
        <f>VLOOKUP($A10,[0]!Data,215,FALSE)+VLOOKUP($A10,[0]!Data,228,FALSE)</f>
        <v>4172</v>
      </c>
      <c r="J10" s="358">
        <f>VLOOKUP($A10,[0]!Data,222,FALSE)</f>
        <v>46</v>
      </c>
      <c r="K10" s="358">
        <f>VLOOKUP($A10,[0]!Data,229,FALSE)</f>
        <v>0</v>
      </c>
      <c r="L10" s="358">
        <f>VLOOKUP($A10,[0]!Data,233,FALSE)</f>
        <v>1627</v>
      </c>
      <c r="M10" s="358">
        <f>VLOOKUP($A10,[0]!Data,234,FALSE)</f>
        <v>2058</v>
      </c>
      <c r="N10" s="420">
        <f>VLOOKUP($A10,[0]!Data,239,FALSE)</f>
        <v>34230</v>
      </c>
    </row>
    <row r="11" spans="1:18" ht="14.25" x14ac:dyDescent="0.2">
      <c r="A11" s="40" t="s">
        <v>804</v>
      </c>
      <c r="B11" s="40" t="s">
        <v>1930</v>
      </c>
      <c r="C11" s="358">
        <f>VLOOKUP($A11,[0]!Data,208,FALSE)</f>
        <v>225775</v>
      </c>
      <c r="D11" s="358">
        <f>VLOOKUP($A11,[0]!Data,209,FALSE)</f>
        <v>0</v>
      </c>
      <c r="E11" s="358">
        <f>VLOOKUP($A11,[0]!Data,210,FALSE)</f>
        <v>71000</v>
      </c>
      <c r="F11" s="358">
        <f>VLOOKUP($A11,[0]!Data,212,FALSE)</f>
        <v>500</v>
      </c>
      <c r="G11" s="358">
        <f>VLOOKUP($A11,[0]!Data,213,FALSE)</f>
        <v>302275</v>
      </c>
      <c r="H11" s="358">
        <f>VLOOKUP($A11,[0]!Data,214,FALSE)+VLOOKUP($A11,[0]!Data,225,FALSE)</f>
        <v>16532</v>
      </c>
      <c r="I11" s="358">
        <f>VLOOKUP($A11,[0]!Data,215,FALSE)+VLOOKUP($A11,[0]!Data,228,FALSE)</f>
        <v>40480</v>
      </c>
      <c r="J11" s="358">
        <f>VLOOKUP($A11,[0]!Data,222,FALSE)</f>
        <v>17246</v>
      </c>
      <c r="K11" s="358">
        <f>VLOOKUP($A11,[0]!Data,229,FALSE)</f>
        <v>0</v>
      </c>
      <c r="L11" s="358">
        <f>VLOOKUP($A11,[0]!Data,233,FALSE)</f>
        <v>29045</v>
      </c>
      <c r="M11" s="358">
        <f>VLOOKUP($A11,[0]!Data,234,FALSE)</f>
        <v>47601</v>
      </c>
      <c r="N11" s="420">
        <f>VLOOKUP($A11,[0]!Data,239,FALSE)</f>
        <v>405578</v>
      </c>
    </row>
    <row r="12" spans="1:18" ht="14.25" x14ac:dyDescent="0.2">
      <c r="A12" s="40" t="s">
        <v>818</v>
      </c>
      <c r="B12" s="40" t="s">
        <v>1931</v>
      </c>
      <c r="C12" s="358">
        <f>VLOOKUP($A12,[0]!Data,208,FALSE)</f>
        <v>567520</v>
      </c>
      <c r="D12" s="358">
        <f>VLOOKUP($A12,[0]!Data,209,FALSE)</f>
        <v>40106</v>
      </c>
      <c r="E12" s="358">
        <f>VLOOKUP($A12,[0]!Data,210,FALSE)</f>
        <v>507659</v>
      </c>
      <c r="F12" s="358">
        <f>VLOOKUP($A12,[0]!Data,212,FALSE)</f>
        <v>24</v>
      </c>
      <c r="G12" s="358">
        <f>VLOOKUP($A12,[0]!Data,213,FALSE)</f>
        <v>1133800</v>
      </c>
      <c r="H12" s="358">
        <f>VLOOKUP($A12,[0]!Data,214,FALSE)+VLOOKUP($A12,[0]!Data,225,FALSE)</f>
        <v>237107</v>
      </c>
      <c r="I12" s="358">
        <f>VLOOKUP($A12,[0]!Data,215,FALSE)+VLOOKUP($A12,[0]!Data,228,FALSE)</f>
        <v>145143</v>
      </c>
      <c r="J12" s="358">
        <f>VLOOKUP($A12,[0]!Data,222,FALSE)</f>
        <v>140944</v>
      </c>
      <c r="K12" s="358">
        <f>VLOOKUP($A12,[0]!Data,229,FALSE)</f>
        <v>8414</v>
      </c>
      <c r="L12" s="358">
        <f>VLOOKUP($A12,[0]!Data,233,FALSE)</f>
        <v>166064</v>
      </c>
      <c r="M12" s="620">
        <f>VLOOKUP($A12,[0]!Data,234,FALSE)</f>
        <v>403345</v>
      </c>
      <c r="N12" s="420">
        <f>VLOOKUP($A12,[0]!Data,239,FALSE)</f>
        <v>1833866</v>
      </c>
      <c r="Q12" s="508"/>
      <c r="R12" s="508"/>
    </row>
    <row r="13" spans="1:18" ht="14.25" x14ac:dyDescent="0.2">
      <c r="A13" s="40" t="s">
        <v>831</v>
      </c>
      <c r="B13" s="40" t="s">
        <v>1932</v>
      </c>
      <c r="C13" s="358">
        <f>VLOOKUP($A13,[0]!Data,208,FALSE)</f>
        <v>82305</v>
      </c>
      <c r="D13" s="358">
        <f>VLOOKUP($A13,[0]!Data,209,FALSE)</f>
        <v>11441</v>
      </c>
      <c r="E13" s="358">
        <f>VLOOKUP($A13,[0]!Data,210,FALSE)</f>
        <v>59689</v>
      </c>
      <c r="F13" s="358">
        <f>VLOOKUP($A13,[0]!Data,212,FALSE)</f>
        <v>207</v>
      </c>
      <c r="G13" s="358">
        <f>VLOOKUP($A13,[0]!Data,213,FALSE)</f>
        <v>153699</v>
      </c>
      <c r="H13" s="358">
        <f>VLOOKUP($A13,[0]!Data,214,FALSE)+VLOOKUP($A13,[0]!Data,225,FALSE)</f>
        <v>8898</v>
      </c>
      <c r="I13" s="358">
        <f>VLOOKUP($A13,[0]!Data,215,FALSE)+VLOOKUP($A13,[0]!Data,228,FALSE)</f>
        <v>2022</v>
      </c>
      <c r="J13" s="358">
        <f>VLOOKUP($A13,[0]!Data,222,FALSE)</f>
        <v>15507</v>
      </c>
      <c r="K13" s="358">
        <f>VLOOKUP($A13,[0]!Data,229,FALSE)</f>
        <v>637</v>
      </c>
      <c r="L13" s="358">
        <f>VLOOKUP($A13,[0]!Data,233,FALSE)</f>
        <v>36862</v>
      </c>
      <c r="M13" s="358">
        <f>VLOOKUP($A13,[0]!Data,234,FALSE)</f>
        <v>56983</v>
      </c>
      <c r="N13" s="420">
        <f>VLOOKUP($A13,[0]!Data,239,FALSE)</f>
        <v>224118</v>
      </c>
      <c r="Q13" s="508"/>
    </row>
    <row r="14" spans="1:18" ht="14.25" x14ac:dyDescent="0.2">
      <c r="A14" s="40" t="s">
        <v>843</v>
      </c>
      <c r="B14" s="40" t="s">
        <v>1933</v>
      </c>
      <c r="C14" s="358">
        <f>VLOOKUP($A14,[0]!Data,208,FALSE)</f>
        <v>230383</v>
      </c>
      <c r="D14" s="358">
        <f>VLOOKUP($A14,[0]!Data,209,FALSE)</f>
        <v>0</v>
      </c>
      <c r="E14" s="358">
        <f>VLOOKUP($A14,[0]!Data,210,FALSE)</f>
        <v>379123</v>
      </c>
      <c r="F14" s="358">
        <f>VLOOKUP($A14,[0]!Data,212,FALSE)</f>
        <v>2126</v>
      </c>
      <c r="G14" s="358">
        <f>VLOOKUP($A14,[0]!Data,213,FALSE)</f>
        <v>643644</v>
      </c>
      <c r="H14" s="358">
        <f>VLOOKUP($A14,[0]!Data,214,FALSE)+VLOOKUP($A14,[0]!Data,225,FALSE)</f>
        <v>48724</v>
      </c>
      <c r="I14" s="358">
        <f>VLOOKUP($A14,[0]!Data,215,FALSE)+VLOOKUP($A14,[0]!Data,228,FALSE)</f>
        <v>63265</v>
      </c>
      <c r="J14" s="358">
        <f>VLOOKUP($A14,[0]!Data,222,FALSE)</f>
        <v>14601</v>
      </c>
      <c r="K14" s="358">
        <f>VLOOKUP($A14,[0]!Data,229,FALSE)</f>
        <v>4400</v>
      </c>
      <c r="L14" s="358">
        <f>VLOOKUP($A14,[0]!Data,233,FALSE)</f>
        <v>220177</v>
      </c>
      <c r="M14" s="358">
        <f>VLOOKUP($A14,[0]!Data,234,FALSE)</f>
        <v>262811</v>
      </c>
      <c r="N14" s="420">
        <f>VLOOKUP($A14,[0]!Data,239,FALSE)</f>
        <v>994811</v>
      </c>
    </row>
    <row r="15" spans="1:18" ht="14.25" x14ac:dyDescent="0.2">
      <c r="A15" s="40" t="s">
        <v>855</v>
      </c>
      <c r="B15" s="40" t="s">
        <v>1934</v>
      </c>
      <c r="C15" s="358">
        <f>VLOOKUP($A15,[0]!Data,208,FALSE)</f>
        <v>94092</v>
      </c>
      <c r="D15" s="358">
        <f>VLOOKUP($A15,[0]!Data,209,FALSE)</f>
        <v>12925</v>
      </c>
      <c r="E15" s="358">
        <f>VLOOKUP($A15,[0]!Data,210,FALSE)</f>
        <v>65227</v>
      </c>
      <c r="F15" s="358">
        <f>VLOOKUP($A15,[0]!Data,212,FALSE)</f>
        <v>3842</v>
      </c>
      <c r="G15" s="358">
        <f>VLOOKUP($A15,[0]!Data,213,FALSE)</f>
        <v>176323</v>
      </c>
      <c r="H15" s="358">
        <f>VLOOKUP($A15,[0]!Data,214,FALSE)+VLOOKUP($A15,[0]!Data,225,FALSE)</f>
        <v>17877</v>
      </c>
      <c r="I15" s="358">
        <f>VLOOKUP($A15,[0]!Data,215,FALSE)+VLOOKUP($A15,[0]!Data,228,FALSE)</f>
        <v>53094</v>
      </c>
      <c r="J15" s="358">
        <f>VLOOKUP($A15,[0]!Data,222,FALSE)</f>
        <v>15134</v>
      </c>
      <c r="K15" s="358">
        <f>VLOOKUP($A15,[0]!Data,229,FALSE)</f>
        <v>582</v>
      </c>
      <c r="L15" s="358">
        <f>VLOOKUP($A15,[0]!Data,233,FALSE)</f>
        <v>14775</v>
      </c>
      <c r="M15" s="358">
        <f>VLOOKUP($A15,[0]!Data,234,FALSE)</f>
        <v>40486</v>
      </c>
      <c r="N15" s="420">
        <f>VLOOKUP($A15,[0]!Data,239,FALSE)</f>
        <v>277787</v>
      </c>
    </row>
    <row r="16" spans="1:18" ht="14.25" x14ac:dyDescent="0.2">
      <c r="A16" s="40" t="s">
        <v>868</v>
      </c>
      <c r="B16" s="40" t="s">
        <v>1935</v>
      </c>
      <c r="C16" s="358">
        <f>VLOOKUP($A16,[0]!Data,208,FALSE)</f>
        <v>14356</v>
      </c>
      <c r="D16" s="358">
        <f>VLOOKUP($A16,[0]!Data,209,FALSE)</f>
        <v>2852</v>
      </c>
      <c r="E16" s="358">
        <f>VLOOKUP($A16,[0]!Data,210,FALSE)</f>
        <v>15591</v>
      </c>
      <c r="F16" s="358">
        <f>VLOOKUP($A16,[0]!Data,212,FALSE)</f>
        <v>575</v>
      </c>
      <c r="G16" s="358">
        <f>VLOOKUP($A16,[0]!Data,213,FALSE)</f>
        <v>33461</v>
      </c>
      <c r="H16" s="358">
        <f>VLOOKUP($A16,[0]!Data,214,FALSE)+VLOOKUP($A16,[0]!Data,225,FALSE)</f>
        <v>1069</v>
      </c>
      <c r="I16" s="358">
        <f>VLOOKUP($A16,[0]!Data,215,FALSE)+VLOOKUP($A16,[0]!Data,228,FALSE)</f>
        <v>5845</v>
      </c>
      <c r="J16" s="358">
        <f>VLOOKUP($A16,[0]!Data,222,FALSE)</f>
        <v>1662</v>
      </c>
      <c r="K16" s="358">
        <f>VLOOKUP($A16,[0]!Data,229,FALSE)</f>
        <v>21</v>
      </c>
      <c r="L16" s="358">
        <f>VLOOKUP($A16,[0]!Data,233,FALSE)</f>
        <v>66</v>
      </c>
      <c r="M16" s="358">
        <f>VLOOKUP($A16,[0]!Data,234,FALSE)</f>
        <v>2020</v>
      </c>
      <c r="N16" s="420">
        <f>VLOOKUP($A16,[0]!Data,239,FALSE)</f>
        <v>42129</v>
      </c>
    </row>
    <row r="17" spans="1:14" ht="14.25" x14ac:dyDescent="0.2">
      <c r="A17" s="40" t="s">
        <v>881</v>
      </c>
      <c r="B17" s="40" t="s">
        <v>1936</v>
      </c>
      <c r="C17" s="358">
        <f>VLOOKUP($A17,[0]!Data,208,FALSE)</f>
        <v>148585</v>
      </c>
      <c r="D17" s="358">
        <f>VLOOKUP($A17,[0]!Data,209,FALSE)</f>
        <v>17969</v>
      </c>
      <c r="E17" s="358">
        <f>VLOOKUP($A17,[0]!Data,210,FALSE)</f>
        <v>135817</v>
      </c>
      <c r="F17" s="358">
        <f>VLOOKUP($A17,[0]!Data,212,FALSE)</f>
        <v>3807</v>
      </c>
      <c r="G17" s="358">
        <f>VLOOKUP($A17,[0]!Data,213,FALSE)</f>
        <v>306178</v>
      </c>
      <c r="H17" s="358">
        <f>VLOOKUP($A17,[0]!Data,214,FALSE)+VLOOKUP($A17,[0]!Data,225,FALSE)</f>
        <v>42346</v>
      </c>
      <c r="I17" s="358">
        <f>VLOOKUP($A17,[0]!Data,215,FALSE)+VLOOKUP($A17,[0]!Data,228,FALSE)</f>
        <v>151632</v>
      </c>
      <c r="J17" s="358">
        <f>VLOOKUP($A17,[0]!Data,222,FALSE)</f>
        <v>25609</v>
      </c>
      <c r="K17" s="358">
        <f>VLOOKUP($A17,[0]!Data,229,FALSE)</f>
        <v>1243</v>
      </c>
      <c r="L17" s="358">
        <f>VLOOKUP($A17,[0]!Data,233,FALSE)</f>
        <v>88955</v>
      </c>
      <c r="M17" s="358">
        <f>VLOOKUP($A17,[0]!Data,234,FALSE)</f>
        <v>140391</v>
      </c>
      <c r="N17" s="420">
        <f>VLOOKUP($A17,[0]!Data,239,FALSE)</f>
        <v>615963</v>
      </c>
    </row>
    <row r="18" spans="1:14" ht="14.25" x14ac:dyDescent="0.2">
      <c r="A18" s="40" t="s">
        <v>932</v>
      </c>
      <c r="B18" s="40" t="s">
        <v>1937</v>
      </c>
      <c r="C18" s="358">
        <f>VLOOKUP($A18,[0]!Data,208,FALSE)</f>
        <v>83917</v>
      </c>
      <c r="D18" s="358">
        <f>VLOOKUP($A18,[0]!Data,209,FALSE)</f>
        <v>8029</v>
      </c>
      <c r="E18" s="358">
        <f>VLOOKUP($A18,[0]!Data,210,FALSE)</f>
        <v>88173</v>
      </c>
      <c r="F18" s="358">
        <f>VLOOKUP($A18,[0]!Data,212,FALSE)</f>
        <v>2849</v>
      </c>
      <c r="G18" s="358">
        <f>VLOOKUP($A18,[0]!Data,213,FALSE)</f>
        <v>182968</v>
      </c>
      <c r="H18" s="358">
        <f>VLOOKUP($A18,[0]!Data,214,FALSE)+VLOOKUP($A18,[0]!Data,225,FALSE)</f>
        <v>16906</v>
      </c>
      <c r="I18" s="358">
        <f>VLOOKUP($A18,[0]!Data,215,FALSE)+VLOOKUP($A18,[0]!Data,228,FALSE)</f>
        <v>34378</v>
      </c>
      <c r="J18" s="358">
        <f>VLOOKUP($A18,[0]!Data,222,FALSE)</f>
        <v>32672</v>
      </c>
      <c r="K18" s="358">
        <f>VLOOKUP($A18,[0]!Data,229,FALSE)</f>
        <v>1395</v>
      </c>
      <c r="L18" s="358">
        <f>VLOOKUP($A18,[0]!Data,233,FALSE)</f>
        <v>11595</v>
      </c>
      <c r="M18" s="358">
        <f>VLOOKUP($A18,[0]!Data,234,FALSE)</f>
        <v>51913</v>
      </c>
      <c r="N18" s="420">
        <f>VLOOKUP($A18,[0]!Data,239,FALSE)</f>
        <v>279914</v>
      </c>
    </row>
    <row r="19" spans="1:14" ht="14.25" x14ac:dyDescent="0.2">
      <c r="A19" s="40" t="s">
        <v>947</v>
      </c>
      <c r="B19" s="40" t="s">
        <v>1938</v>
      </c>
      <c r="C19" s="358">
        <f>VLOOKUP($A19,[0]!Data,208,FALSE)</f>
        <v>75613</v>
      </c>
      <c r="D19" s="358">
        <f>VLOOKUP($A19,[0]!Data,209,FALSE)</f>
        <v>4886</v>
      </c>
      <c r="E19" s="358">
        <f>VLOOKUP($A19,[0]!Data,210,FALSE)</f>
        <v>46867</v>
      </c>
      <c r="F19" s="358">
        <f>VLOOKUP($A19,[0]!Data,212,FALSE)</f>
        <v>4</v>
      </c>
      <c r="G19" s="358">
        <f>VLOOKUP($A19,[0]!Data,213,FALSE)</f>
        <v>134147</v>
      </c>
      <c r="H19" s="358">
        <f>VLOOKUP($A19,[0]!Data,214,FALSE)+VLOOKUP($A19,[0]!Data,225,FALSE)</f>
        <v>7543</v>
      </c>
      <c r="I19" s="358">
        <f>VLOOKUP($A19,[0]!Data,215,FALSE)+VLOOKUP($A19,[0]!Data,228,FALSE)</f>
        <v>17136</v>
      </c>
      <c r="J19" s="358">
        <f>VLOOKUP($A19,[0]!Data,222,FALSE)</f>
        <v>12206</v>
      </c>
      <c r="K19" s="358">
        <f>VLOOKUP($A19,[0]!Data,229,FALSE)</f>
        <v>431</v>
      </c>
      <c r="L19" s="358">
        <f>VLOOKUP($A19,[0]!Data,233,FALSE)</f>
        <v>15323</v>
      </c>
      <c r="M19" s="358">
        <f>VLOOKUP($A19,[0]!Data,234,FALSE)</f>
        <v>30646</v>
      </c>
      <c r="N19" s="420">
        <f>VLOOKUP($A19,[0]!Data,239,FALSE)</f>
        <v>192116</v>
      </c>
    </row>
    <row r="20" spans="1:14" ht="14.25" x14ac:dyDescent="0.2">
      <c r="A20" s="40" t="s">
        <v>961</v>
      </c>
      <c r="B20" s="40" t="s">
        <v>1939</v>
      </c>
      <c r="C20" s="358">
        <f>VLOOKUP($A20,[0]!Data,208,FALSE)</f>
        <v>59327</v>
      </c>
      <c r="D20" s="358">
        <f>VLOOKUP($A20,[0]!Data,209,FALSE)</f>
        <v>3070</v>
      </c>
      <c r="E20" s="358">
        <f>VLOOKUP($A20,[0]!Data,210,FALSE)</f>
        <v>20400</v>
      </c>
      <c r="F20" s="358">
        <f>VLOOKUP($A20,[0]!Data,212,FALSE)</f>
        <v>2115</v>
      </c>
      <c r="G20" s="358">
        <f>VLOOKUP($A20,[0]!Data,213,FALSE)</f>
        <v>84912</v>
      </c>
      <c r="H20" s="358">
        <f>VLOOKUP($A20,[0]!Data,214,FALSE)+VLOOKUP($A20,[0]!Data,225,FALSE)</f>
        <v>2790</v>
      </c>
      <c r="I20" s="358">
        <f>VLOOKUP($A20,[0]!Data,215,FALSE)+VLOOKUP($A20,[0]!Data,228,FALSE)</f>
        <v>12157</v>
      </c>
      <c r="J20" s="358">
        <f>VLOOKUP($A20,[0]!Data,222,FALSE)</f>
        <v>2604</v>
      </c>
      <c r="K20" s="358">
        <f>VLOOKUP($A20,[0]!Data,229,FALSE)</f>
        <v>0</v>
      </c>
      <c r="L20" s="358">
        <f>VLOOKUP($A20,[0]!Data,233,FALSE)</f>
        <v>3866</v>
      </c>
      <c r="M20" s="358">
        <f>VLOOKUP($A20,[0]!Data,234,FALSE)</f>
        <v>7315</v>
      </c>
      <c r="N20" s="420">
        <f>VLOOKUP($A20,[0]!Data,239,FALSE)</f>
        <v>106329</v>
      </c>
    </row>
    <row r="21" spans="1:14" ht="14.25" x14ac:dyDescent="0.2">
      <c r="A21" s="40" t="s">
        <v>991</v>
      </c>
      <c r="B21" s="40" t="s">
        <v>1940</v>
      </c>
      <c r="C21" s="358">
        <f>VLOOKUP($A21,[0]!Data,208,FALSE)</f>
        <v>446762</v>
      </c>
      <c r="D21" s="358">
        <f>VLOOKUP($A21,[0]!Data,209,FALSE)</f>
        <v>80442</v>
      </c>
      <c r="E21" s="358">
        <f>VLOOKUP($A21,[0]!Data,210,FALSE)</f>
        <v>552819</v>
      </c>
      <c r="F21" s="358">
        <f>VLOOKUP($A21,[0]!Data,212,FALSE)</f>
        <v>11500</v>
      </c>
      <c r="G21" s="358">
        <f>VLOOKUP($A21,[0]!Data,213,FALSE)</f>
        <v>1095065</v>
      </c>
      <c r="H21" s="358">
        <f>VLOOKUP($A21,[0]!Data,214,FALSE)+VLOOKUP($A21,[0]!Data,225,FALSE)</f>
        <v>107579</v>
      </c>
      <c r="I21" s="358">
        <f>VLOOKUP($A21,[0]!Data,215,FALSE)+VLOOKUP($A21,[0]!Data,228,FALSE)</f>
        <v>216122</v>
      </c>
      <c r="J21" s="358">
        <f>VLOOKUP($A21,[0]!Data,222,FALSE)</f>
        <v>80459</v>
      </c>
      <c r="K21" s="358">
        <f>VLOOKUP($A21,[0]!Data,229,FALSE)</f>
        <v>6037</v>
      </c>
      <c r="L21" s="358">
        <f>VLOOKUP($A21,[0]!Data,233,FALSE)</f>
        <v>272954</v>
      </c>
      <c r="M21" s="358">
        <f>VLOOKUP($A21,[0]!Data,234,FALSE)</f>
        <v>396417</v>
      </c>
      <c r="N21" s="420">
        <f>VLOOKUP($A21,[0]!Data,239,FALSE)</f>
        <v>1778636</v>
      </c>
    </row>
    <row r="22" spans="1:14" ht="14.25" x14ac:dyDescent="0.2">
      <c r="A22" s="40" t="s">
        <v>1007</v>
      </c>
      <c r="B22" s="40" t="s">
        <v>1941</v>
      </c>
      <c r="C22" s="358">
        <f>VLOOKUP($A22,[0]!Data,208,FALSE)</f>
        <v>162636</v>
      </c>
      <c r="D22" s="358">
        <f>VLOOKUP($A22,[0]!Data,209,FALSE)</f>
        <v>21388</v>
      </c>
      <c r="E22" s="358">
        <f>VLOOKUP($A22,[0]!Data,210,FALSE)</f>
        <v>133132</v>
      </c>
      <c r="F22" s="358">
        <f>VLOOKUP($A22,[0]!Data,212,FALSE)</f>
        <v>780</v>
      </c>
      <c r="G22" s="358">
        <f>VLOOKUP($A22,[0]!Data,213,FALSE)</f>
        <v>319051</v>
      </c>
      <c r="H22" s="358">
        <f>VLOOKUP($A22,[0]!Data,214,FALSE)+VLOOKUP($A22,[0]!Data,225,FALSE)</f>
        <v>32176</v>
      </c>
      <c r="I22" s="358">
        <f>VLOOKUP($A22,[0]!Data,215,FALSE)+VLOOKUP($A22,[0]!Data,228,FALSE)</f>
        <v>96046</v>
      </c>
      <c r="J22" s="358">
        <f>VLOOKUP($A22,[0]!Data,222,FALSE)</f>
        <v>40626</v>
      </c>
      <c r="K22" s="358">
        <f>VLOOKUP($A22,[0]!Data,229,FALSE)</f>
        <v>1340</v>
      </c>
      <c r="L22" s="358">
        <f>VLOOKUP($A22,[0]!Data,233,FALSE)</f>
        <v>58189</v>
      </c>
      <c r="M22" s="358">
        <f>VLOOKUP($A22,[0]!Data,234,FALSE)</f>
        <v>116336</v>
      </c>
      <c r="N22" s="420">
        <f>VLOOKUP($A22,[0]!Data,239,FALSE)</f>
        <v>547462</v>
      </c>
    </row>
    <row r="23" spans="1:14" ht="14.25" x14ac:dyDescent="0.2">
      <c r="A23" s="40" t="s">
        <v>1024</v>
      </c>
      <c r="B23" s="40" t="s">
        <v>1942</v>
      </c>
      <c r="C23" s="358">
        <f>VLOOKUP($A23,[0]!Data,208,FALSE)</f>
        <v>32397</v>
      </c>
      <c r="D23" s="358">
        <f>VLOOKUP($A23,[0]!Data,209,FALSE)</f>
        <v>2833</v>
      </c>
      <c r="E23" s="358">
        <f>VLOOKUP($A23,[0]!Data,210,FALSE)</f>
        <v>36135</v>
      </c>
      <c r="F23" s="358">
        <f>VLOOKUP($A23,[0]!Data,212,FALSE)</f>
        <v>0</v>
      </c>
      <c r="G23" s="358">
        <f>VLOOKUP($A23,[0]!Data,213,FALSE)</f>
        <v>72734</v>
      </c>
      <c r="H23" s="358">
        <f>VLOOKUP($A23,[0]!Data,214,FALSE)+VLOOKUP($A23,[0]!Data,225,FALSE)</f>
        <v>6137</v>
      </c>
      <c r="I23" s="358">
        <f>VLOOKUP($A23,[0]!Data,215,FALSE)+VLOOKUP($A23,[0]!Data,228,FALSE)</f>
        <v>7353</v>
      </c>
      <c r="J23" s="358">
        <f>VLOOKUP($A23,[0]!Data,222,FALSE)</f>
        <v>9324</v>
      </c>
      <c r="K23" s="358">
        <f>VLOOKUP($A23,[0]!Data,229,FALSE)</f>
        <v>177</v>
      </c>
      <c r="L23" s="358">
        <f>VLOOKUP($A23,[0]!Data,233,FALSE)</f>
        <v>18148</v>
      </c>
      <c r="M23" s="358">
        <f>VLOOKUP($A23,[0]!Data,234,FALSE)</f>
        <v>29271</v>
      </c>
      <c r="N23" s="420">
        <f>VLOOKUP($A23,[0]!Data,239,FALSE)</f>
        <v>115293</v>
      </c>
    </row>
    <row r="24" spans="1:14" ht="14.25" x14ac:dyDescent="0.2">
      <c r="A24" s="40" t="s">
        <v>1037</v>
      </c>
      <c r="B24" s="40" t="s">
        <v>1943</v>
      </c>
      <c r="C24" s="358">
        <f>VLOOKUP($A24,[0]!Data,208,FALSE)</f>
        <v>27675</v>
      </c>
      <c r="D24" s="358">
        <f>VLOOKUP($A24,[0]!Data,209,FALSE)</f>
        <v>1037</v>
      </c>
      <c r="E24" s="358">
        <f>VLOOKUP($A24,[0]!Data,210,FALSE)</f>
        <v>15090</v>
      </c>
      <c r="F24" s="358">
        <f>VLOOKUP($A24,[0]!Data,212,FALSE)</f>
        <v>462</v>
      </c>
      <c r="G24" s="358">
        <f>VLOOKUP($A24,[0]!Data,213,FALSE)</f>
        <v>44264</v>
      </c>
      <c r="H24" s="358">
        <f>VLOOKUP($A24,[0]!Data,214,FALSE)+VLOOKUP($A24,[0]!Data,225,FALSE)</f>
        <v>2333</v>
      </c>
      <c r="I24" s="358">
        <f>VLOOKUP($A24,[0]!Data,215,FALSE)+VLOOKUP($A24,[0]!Data,228,FALSE)</f>
        <v>12452</v>
      </c>
      <c r="J24" s="358">
        <f>VLOOKUP($A24,[0]!Data,222,FALSE)</f>
        <v>4111</v>
      </c>
      <c r="K24" s="358">
        <f>VLOOKUP($A24,[0]!Data,229,FALSE)</f>
        <v>95</v>
      </c>
      <c r="L24" s="358">
        <f>VLOOKUP($A24,[0]!Data,233,FALSE)</f>
        <v>2015</v>
      </c>
      <c r="M24" s="358">
        <f>VLOOKUP($A24,[0]!Data,234,FALSE)</f>
        <v>6701</v>
      </c>
      <c r="N24" s="420">
        <f>VLOOKUP($A24,[0]!Data,239,FALSE)</f>
        <v>65270</v>
      </c>
    </row>
    <row r="25" spans="1:14" ht="14.25" x14ac:dyDescent="0.2">
      <c r="A25" s="40" t="s">
        <v>1053</v>
      </c>
      <c r="B25" s="40" t="s">
        <v>1944</v>
      </c>
      <c r="C25" s="358">
        <f>VLOOKUP($A25,[0]!Data,208,FALSE)</f>
        <v>809674</v>
      </c>
      <c r="D25" s="358">
        <f>VLOOKUP($A25,[0]!Data,209,FALSE)</f>
        <v>75127</v>
      </c>
      <c r="E25" s="358">
        <f>VLOOKUP($A25,[0]!Data,210,FALSE)</f>
        <v>1029667</v>
      </c>
      <c r="F25" s="358">
        <f>VLOOKUP($A25,[0]!Data,212,FALSE)</f>
        <v>0</v>
      </c>
      <c r="G25" s="358">
        <f>VLOOKUP($A25,[0]!Data,213,FALSE)</f>
        <v>1914468</v>
      </c>
      <c r="H25" s="358">
        <f>VLOOKUP($A25,[0]!Data,214,FALSE)+VLOOKUP($A25,[0]!Data,225,FALSE)</f>
        <v>207413</v>
      </c>
      <c r="I25" s="358">
        <f>VLOOKUP($A25,[0]!Data,215,FALSE)+VLOOKUP($A25,[0]!Data,228,FALSE)</f>
        <v>516301</v>
      </c>
      <c r="J25" s="358">
        <f>VLOOKUP($A25,[0]!Data,222,FALSE)</f>
        <v>123898</v>
      </c>
      <c r="K25" s="358">
        <f>VLOOKUP($A25,[0]!Data,229,FALSE)</f>
        <v>13604</v>
      </c>
      <c r="L25" s="358">
        <f>VLOOKUP($A25,[0]!Data,233,FALSE)</f>
        <v>225984</v>
      </c>
      <c r="M25" s="620">
        <f>VLOOKUP($A25,[0]!Data,234,FALSE)</f>
        <v>470483</v>
      </c>
      <c r="N25" s="420">
        <f>VLOOKUP($A25,[0]!Data,239,FALSE)</f>
        <v>3024451</v>
      </c>
    </row>
    <row r="26" spans="1:14" ht="14.25" x14ac:dyDescent="0.2">
      <c r="A26" s="40" t="s">
        <v>1086</v>
      </c>
      <c r="B26" s="40" t="s">
        <v>1945</v>
      </c>
      <c r="C26" s="358">
        <f>VLOOKUP($A26,[0]!Data,208,FALSE)</f>
        <v>29623</v>
      </c>
      <c r="D26" s="358">
        <f>VLOOKUP($A26,[0]!Data,209,FALSE)</f>
        <v>3416</v>
      </c>
      <c r="E26" s="358">
        <f>VLOOKUP($A26,[0]!Data,210,FALSE)</f>
        <v>14150</v>
      </c>
      <c r="F26" s="358">
        <f>VLOOKUP($A26,[0]!Data,212,FALSE)</f>
        <v>42</v>
      </c>
      <c r="G26" s="358">
        <f>VLOOKUP($A26,[0]!Data,213,FALSE)</f>
        <v>47231</v>
      </c>
      <c r="H26" s="358">
        <f>VLOOKUP($A26,[0]!Data,214,FALSE)+VLOOKUP($A26,[0]!Data,225,FALSE)</f>
        <v>999</v>
      </c>
      <c r="I26" s="358">
        <f>VLOOKUP($A26,[0]!Data,215,FALSE)+VLOOKUP($A26,[0]!Data,228,FALSE)</f>
        <v>3109</v>
      </c>
      <c r="J26" s="358">
        <f>VLOOKUP($A26,[0]!Data,222,FALSE)</f>
        <v>273</v>
      </c>
      <c r="K26" s="358">
        <f>VLOOKUP($A26,[0]!Data,229,FALSE)</f>
        <v>0</v>
      </c>
      <c r="L26" s="358">
        <f>VLOOKUP($A26,[0]!Data,233,FALSE)</f>
        <v>11236</v>
      </c>
      <c r="M26" s="358">
        <f>VLOOKUP($A26,[0]!Data,234,FALSE)</f>
        <v>11666</v>
      </c>
      <c r="N26" s="420">
        <f>VLOOKUP($A26,[0]!Data,239,FALSE)</f>
        <v>62848</v>
      </c>
    </row>
    <row r="27" spans="1:14" ht="14.25" x14ac:dyDescent="0.2">
      <c r="A27" s="40" t="s">
        <v>1132</v>
      </c>
      <c r="B27" s="40" t="s">
        <v>1946</v>
      </c>
      <c r="C27" s="358">
        <f>VLOOKUP($A27,[0]!Data,208,FALSE)</f>
        <v>483631</v>
      </c>
      <c r="D27" s="358">
        <f>VLOOKUP($A27,[0]!Data,209,FALSE)</f>
        <v>34248</v>
      </c>
      <c r="E27" s="358">
        <f>VLOOKUP($A27,[0]!Data,210,FALSE)</f>
        <v>400507</v>
      </c>
      <c r="F27" s="358">
        <f>VLOOKUP($A27,[0]!Data,212,FALSE)</f>
        <v>16190</v>
      </c>
      <c r="G27" s="358">
        <f>VLOOKUP($A27,[0]!Data,213,FALSE)</f>
        <v>934700</v>
      </c>
      <c r="H27" s="358">
        <f>VLOOKUP($A27,[0]!Data,214,FALSE)+VLOOKUP($A27,[0]!Data,225,FALSE)</f>
        <v>144626</v>
      </c>
      <c r="I27" s="358">
        <f>VLOOKUP($A27,[0]!Data,215,FALSE)+VLOOKUP($A27,[0]!Data,228,FALSE)</f>
        <v>185155</v>
      </c>
      <c r="J27" s="358">
        <f>VLOOKUP($A27,[0]!Data,222,FALSE)</f>
        <v>119092</v>
      </c>
      <c r="K27" s="358">
        <f>VLOOKUP($A27,[0]!Data,229,FALSE)</f>
        <v>3668</v>
      </c>
      <c r="L27" s="358">
        <f>VLOOKUP($A27,[0]!Data,233,FALSE)</f>
        <v>231336</v>
      </c>
      <c r="M27" s="358">
        <f>VLOOKUP($A27,[0]!Data,234,FALSE)</f>
        <v>420888</v>
      </c>
      <c r="N27" s="420">
        <f>VLOOKUP($A27,[0]!Data,239,FALSE)</f>
        <v>1719387</v>
      </c>
    </row>
    <row r="28" spans="1:14" ht="14.25" x14ac:dyDescent="0.2">
      <c r="A28" s="40" t="s">
        <v>1146</v>
      </c>
      <c r="B28" s="40" t="s">
        <v>1947</v>
      </c>
      <c r="C28" s="358">
        <f>VLOOKUP($A28,[0]!Data,208,FALSE)</f>
        <v>39114</v>
      </c>
      <c r="D28" s="358">
        <f>VLOOKUP($A28,[0]!Data,209,FALSE)</f>
        <v>5245</v>
      </c>
      <c r="E28" s="358">
        <f>VLOOKUP($A28,[0]!Data,210,FALSE)</f>
        <v>53299</v>
      </c>
      <c r="F28" s="358">
        <f>VLOOKUP($A28,[0]!Data,212,FALSE)</f>
        <v>1724</v>
      </c>
      <c r="G28" s="358">
        <f>VLOOKUP($A28,[0]!Data,213,FALSE)</f>
        <v>99834</v>
      </c>
      <c r="H28" s="358">
        <f>VLOOKUP($A28,[0]!Data,214,FALSE)+VLOOKUP($A28,[0]!Data,225,FALSE)</f>
        <v>3819</v>
      </c>
      <c r="I28" s="358">
        <f>VLOOKUP($A28,[0]!Data,215,FALSE)+VLOOKUP($A28,[0]!Data,228,FALSE)</f>
        <v>15157</v>
      </c>
      <c r="J28" s="358">
        <f>VLOOKUP($A28,[0]!Data,222,FALSE)</f>
        <v>8859</v>
      </c>
      <c r="K28" s="358">
        <f>VLOOKUP($A28,[0]!Data,229,FALSE)</f>
        <v>179</v>
      </c>
      <c r="L28" s="358">
        <f>VLOOKUP($A28,[0]!Data,233,FALSE)</f>
        <v>1099</v>
      </c>
      <c r="M28" s="358">
        <f>VLOOKUP($A28,[0]!Data,234,FALSE)</f>
        <v>11854</v>
      </c>
      <c r="N28" s="420">
        <f>VLOOKUP($A28,[0]!Data,239,FALSE)</f>
        <v>152171</v>
      </c>
    </row>
    <row r="29" spans="1:14" ht="14.25" x14ac:dyDescent="0.2">
      <c r="A29" s="40" t="s">
        <v>1161</v>
      </c>
      <c r="B29" s="40" t="s">
        <v>1176</v>
      </c>
      <c r="C29" s="358">
        <f>VLOOKUP($A29,[0]!Data,208,FALSE)</f>
        <v>329262</v>
      </c>
      <c r="D29" s="358">
        <f>VLOOKUP($A29,[0]!Data,209,FALSE)</f>
        <v>39212</v>
      </c>
      <c r="E29" s="358">
        <f>VLOOKUP($A29,[0]!Data,210,FALSE)</f>
        <v>348892</v>
      </c>
      <c r="F29" s="358">
        <f>VLOOKUP($A29,[0]!Data,212,FALSE)</f>
        <v>0</v>
      </c>
      <c r="G29" s="358">
        <f>VLOOKUP($A29,[0]!Data,213,FALSE)</f>
        <v>717366</v>
      </c>
      <c r="H29" s="358">
        <f>VLOOKUP($A29,[0]!Data,214,FALSE)+VLOOKUP($A29,[0]!Data,225,FALSE)</f>
        <v>58938</v>
      </c>
      <c r="I29" s="358">
        <f>VLOOKUP($A29,[0]!Data,215,FALSE)+VLOOKUP($A29,[0]!Data,228,FALSE)</f>
        <v>189439</v>
      </c>
      <c r="J29" s="358">
        <f>VLOOKUP($A29,[0]!Data,222,FALSE)</f>
        <v>52262</v>
      </c>
      <c r="K29" s="358">
        <f>VLOOKUP($A29,[0]!Data,229,FALSE)</f>
        <v>4023</v>
      </c>
      <c r="L29" s="358">
        <f>VLOOKUP($A29,[0]!Data,233,FALSE)</f>
        <v>120614</v>
      </c>
      <c r="M29" s="358">
        <f>VLOOKUP($A29,[0]!Data,234,FALSE)</f>
        <v>206356</v>
      </c>
      <c r="N29" s="420">
        <f>VLOOKUP($A29,[0]!Data,239,FALSE)</f>
        <v>1145619</v>
      </c>
    </row>
    <row r="30" spans="1:14" ht="14.25" x14ac:dyDescent="0.2">
      <c r="A30" s="40" t="s">
        <v>1187</v>
      </c>
      <c r="B30" s="40" t="s">
        <v>1948</v>
      </c>
      <c r="C30" s="358">
        <f>VLOOKUP($A30,[0]!Data,208,FALSE)</f>
        <v>49643</v>
      </c>
      <c r="D30" s="358">
        <f>VLOOKUP($A30,[0]!Data,209,FALSE)</f>
        <v>5969</v>
      </c>
      <c r="E30" s="358">
        <f>VLOOKUP($A30,[0]!Data,210,FALSE)</f>
        <v>38965</v>
      </c>
      <c r="F30" s="358">
        <f>VLOOKUP($A30,[0]!Data,212,FALSE)</f>
        <v>1255</v>
      </c>
      <c r="G30" s="358">
        <f>VLOOKUP($A30,[0]!Data,213,FALSE)</f>
        <v>97814</v>
      </c>
      <c r="H30" s="358">
        <f>VLOOKUP($A30,[0]!Data,214,FALSE)+VLOOKUP($A30,[0]!Data,225,FALSE)</f>
        <v>4998</v>
      </c>
      <c r="I30" s="358">
        <f>VLOOKUP($A30,[0]!Data,215,FALSE)+VLOOKUP($A30,[0]!Data,228,FALSE)</f>
        <v>25983</v>
      </c>
      <c r="J30" s="358">
        <f>VLOOKUP($A30,[0]!Data,222,FALSE)</f>
        <v>10493</v>
      </c>
      <c r="K30" s="358">
        <f>VLOOKUP($A30,[0]!Data,229,FALSE)</f>
        <v>79</v>
      </c>
      <c r="L30" s="358">
        <f>VLOOKUP($A30,[0]!Data,233,FALSE)</f>
        <v>21754</v>
      </c>
      <c r="M30" s="358">
        <f>VLOOKUP($A30,[0]!Data,234,FALSE)</f>
        <v>34125</v>
      </c>
      <c r="N30" s="420">
        <f>VLOOKUP($A30,[0]!Data,239,FALSE)</f>
        <v>162205</v>
      </c>
    </row>
    <row r="31" spans="1:14" ht="14.25" x14ac:dyDescent="0.2">
      <c r="A31" s="40" t="s">
        <v>1201</v>
      </c>
      <c r="B31" s="40" t="s">
        <v>1949</v>
      </c>
      <c r="C31" s="358">
        <f>VLOOKUP($A31,[0]!Data,208,FALSE)</f>
        <v>347959</v>
      </c>
      <c r="D31" s="358">
        <f>VLOOKUP($A31,[0]!Data,209,FALSE)</f>
        <v>65728</v>
      </c>
      <c r="E31" s="358">
        <f>VLOOKUP($A31,[0]!Data,210,FALSE)</f>
        <v>629177</v>
      </c>
      <c r="F31" s="358">
        <f>VLOOKUP($A31,[0]!Data,212,FALSE)</f>
        <v>0</v>
      </c>
      <c r="G31" s="358">
        <f>VLOOKUP($A31,[0]!Data,213,FALSE)</f>
        <v>1043317</v>
      </c>
      <c r="H31" s="358">
        <f>VLOOKUP($A31,[0]!Data,214,FALSE)+VLOOKUP($A31,[0]!Data,225,FALSE)</f>
        <v>164934</v>
      </c>
      <c r="I31" s="358">
        <f>VLOOKUP($A31,[0]!Data,215,FALSE)+VLOOKUP($A31,[0]!Data,228,FALSE)</f>
        <v>280118</v>
      </c>
      <c r="J31" s="358">
        <f>VLOOKUP($A31,[0]!Data,222,FALSE)</f>
        <v>217525</v>
      </c>
      <c r="K31" s="358">
        <f>VLOOKUP($A31,[0]!Data,229,FALSE)</f>
        <v>6866</v>
      </c>
      <c r="L31" s="358">
        <f>VLOOKUP($A31,[0]!Data,233,FALSE)</f>
        <v>356337</v>
      </c>
      <c r="M31" s="358">
        <f>VLOOKUP($A31,[0]!Data,234,FALSE)</f>
        <v>698237</v>
      </c>
      <c r="N31" s="420">
        <f>VLOOKUP($A31,[0]!Data,239,FALSE)</f>
        <v>2071985</v>
      </c>
    </row>
    <row r="32" spans="1:14" ht="14.25" x14ac:dyDescent="0.2">
      <c r="A32" s="40" t="s">
        <v>1218</v>
      </c>
      <c r="B32" s="40" t="s">
        <v>1950</v>
      </c>
      <c r="C32" s="358">
        <f>VLOOKUP($A32,[0]!Data,208,FALSE)</f>
        <v>77058</v>
      </c>
      <c r="D32" s="358">
        <f>VLOOKUP($A32,[0]!Data,209,FALSE)</f>
        <v>1248</v>
      </c>
      <c r="E32" s="358">
        <f>VLOOKUP($A32,[0]!Data,210,FALSE)</f>
        <v>13062</v>
      </c>
      <c r="F32" s="358">
        <f>VLOOKUP($A32,[0]!Data,212,FALSE)</f>
        <v>256</v>
      </c>
      <c r="G32" s="358">
        <f>VLOOKUP($A32,[0]!Data,213,FALSE)</f>
        <v>91624</v>
      </c>
      <c r="H32" s="358">
        <f>VLOOKUP($A32,[0]!Data,214,FALSE)+VLOOKUP($A32,[0]!Data,225,FALSE)</f>
        <v>632</v>
      </c>
      <c r="I32" s="358">
        <f>VLOOKUP($A32,[0]!Data,215,FALSE)+VLOOKUP($A32,[0]!Data,228,FALSE)</f>
        <v>109</v>
      </c>
      <c r="J32" s="358">
        <f>VLOOKUP($A32,[0]!Data,222,FALSE)</f>
        <v>177</v>
      </c>
      <c r="K32" s="358">
        <f>VLOOKUP($A32,[0]!Data,229,FALSE)</f>
        <v>0</v>
      </c>
      <c r="L32" s="358">
        <f>VLOOKUP($A32,[0]!Data,233,FALSE)</f>
        <v>4544</v>
      </c>
      <c r="M32" s="358">
        <f>VLOOKUP($A32,[0]!Data,234,FALSE)</f>
        <v>4738</v>
      </c>
      <c r="N32" s="420">
        <f>VLOOKUP($A32,[0]!Data,239,FALSE)</f>
        <v>97086</v>
      </c>
    </row>
    <row r="33" spans="1:14" ht="14.25" x14ac:dyDescent="0.2">
      <c r="A33" s="40" t="s">
        <v>1232</v>
      </c>
      <c r="B33" s="40" t="s">
        <v>1951</v>
      </c>
      <c r="C33" s="358">
        <f>VLOOKUP($A33,[0]!Data,208,FALSE)</f>
        <v>75247</v>
      </c>
      <c r="D33" s="358">
        <f>VLOOKUP($A33,[0]!Data,209,FALSE)</f>
        <v>5872</v>
      </c>
      <c r="E33" s="358">
        <f>VLOOKUP($A33,[0]!Data,210,FALSE)</f>
        <v>118476</v>
      </c>
      <c r="F33" s="358">
        <f>VLOOKUP($A33,[0]!Data,212,FALSE)</f>
        <v>723</v>
      </c>
      <c r="G33" s="358">
        <f>VLOOKUP($A33,[0]!Data,213,FALSE)</f>
        <v>201431</v>
      </c>
      <c r="H33" s="358">
        <f>VLOOKUP($A33,[0]!Data,214,FALSE)+VLOOKUP($A33,[0]!Data,225,FALSE)</f>
        <v>13035</v>
      </c>
      <c r="I33" s="358">
        <f>VLOOKUP($A33,[0]!Data,215,FALSE)+VLOOKUP($A33,[0]!Data,228,FALSE)</f>
        <v>30353</v>
      </c>
      <c r="J33" s="358">
        <f>VLOOKUP($A33,[0]!Data,222,FALSE)</f>
        <v>12276</v>
      </c>
      <c r="K33" s="358">
        <f>VLOOKUP($A33,[0]!Data,229,FALSE)</f>
        <v>168</v>
      </c>
      <c r="L33" s="358">
        <f>VLOOKUP($A33,[0]!Data,233,FALSE)</f>
        <v>78485</v>
      </c>
      <c r="M33" s="358">
        <f>VLOOKUP($A33,[0]!Data,234,FALSE)</f>
        <v>96422</v>
      </c>
      <c r="N33" s="420">
        <f>VLOOKUP($A33,[0]!Data,239,FALSE)</f>
        <v>336091</v>
      </c>
    </row>
    <row r="34" spans="1:14" ht="14.25" x14ac:dyDescent="0.2">
      <c r="A34" s="40" t="s">
        <v>1256</v>
      </c>
      <c r="B34" s="40" t="s">
        <v>1952</v>
      </c>
      <c r="C34" s="358">
        <f>VLOOKUP($A34,[0]!Data,208,FALSE)</f>
        <v>135344</v>
      </c>
      <c r="D34" s="358">
        <f>VLOOKUP($A34,[0]!Data,209,FALSE)</f>
        <v>7390</v>
      </c>
      <c r="E34" s="358">
        <f>VLOOKUP($A34,[0]!Data,210,FALSE)</f>
        <v>68659</v>
      </c>
      <c r="F34" s="358">
        <f>VLOOKUP($A34,[0]!Data,212,FALSE)</f>
        <v>4722</v>
      </c>
      <c r="G34" s="358">
        <f>VLOOKUP($A34,[0]!Data,213,FALSE)</f>
        <v>216929</v>
      </c>
      <c r="H34" s="358">
        <f>VLOOKUP($A34,[0]!Data,214,FALSE)+VLOOKUP($A34,[0]!Data,225,FALSE)</f>
        <v>32652</v>
      </c>
      <c r="I34" s="358">
        <f>VLOOKUP($A34,[0]!Data,215,FALSE)+VLOOKUP($A34,[0]!Data,228,FALSE)</f>
        <v>56119</v>
      </c>
      <c r="J34" s="358">
        <f>VLOOKUP($A34,[0]!Data,222,FALSE)</f>
        <v>21541</v>
      </c>
      <c r="K34" s="358">
        <f>VLOOKUP($A34,[0]!Data,229,FALSE)</f>
        <v>898</v>
      </c>
      <c r="L34" s="358">
        <f>VLOOKUP($A34,[0]!Data,233,FALSE)</f>
        <v>13407</v>
      </c>
      <c r="M34" s="358">
        <f>VLOOKUP($A34,[0]!Data,234,FALSE)</f>
        <v>47328</v>
      </c>
      <c r="N34" s="420">
        <f>VLOOKUP($A34,[0]!Data,239,FALSE)</f>
        <v>341882</v>
      </c>
    </row>
    <row r="35" spans="1:14" ht="14.25" x14ac:dyDescent="0.2">
      <c r="A35" s="40" t="s">
        <v>1268</v>
      </c>
      <c r="B35" s="40" t="s">
        <v>1953</v>
      </c>
      <c r="C35" s="358">
        <f>VLOOKUP($A35,[0]!Data,208,FALSE)</f>
        <v>338080</v>
      </c>
      <c r="D35" s="358">
        <f>VLOOKUP($A35,[0]!Data,209,FALSE)</f>
        <v>21877</v>
      </c>
      <c r="E35" s="358">
        <f>VLOOKUP($A35,[0]!Data,210,FALSE)</f>
        <v>195614</v>
      </c>
      <c r="F35" s="358">
        <f>VLOOKUP($A35,[0]!Data,212,FALSE)</f>
        <v>3336</v>
      </c>
      <c r="G35" s="358">
        <f>VLOOKUP($A35,[0]!Data,213,FALSE)</f>
        <v>561050</v>
      </c>
      <c r="H35" s="358">
        <f>VLOOKUP($A35,[0]!Data,214,FALSE)+VLOOKUP($A35,[0]!Data,225,FALSE)</f>
        <v>86134</v>
      </c>
      <c r="I35" s="358">
        <f>VLOOKUP($A35,[0]!Data,215,FALSE)+VLOOKUP($A35,[0]!Data,228,FALSE)</f>
        <v>200637</v>
      </c>
      <c r="J35" s="358">
        <f>VLOOKUP($A35,[0]!Data,222,FALSE)</f>
        <v>57286</v>
      </c>
      <c r="K35" s="358">
        <f>VLOOKUP($A35,[0]!Data,229,FALSE)</f>
        <v>1590</v>
      </c>
      <c r="L35" s="358">
        <f>VLOOKUP($A35,[0]!Data,233,FALSE)</f>
        <v>149274</v>
      </c>
      <c r="M35" s="358">
        <f>VLOOKUP($A35,[0]!Data,234,FALSE)</f>
        <v>241690</v>
      </c>
      <c r="N35" s="420">
        <f>VLOOKUP($A35,[0]!Data,239,FALSE)</f>
        <v>1056328</v>
      </c>
    </row>
    <row r="36" spans="1:14" ht="14.25" x14ac:dyDescent="0.2">
      <c r="A36" s="40" t="s">
        <v>1328</v>
      </c>
      <c r="B36" s="40" t="s">
        <v>1954</v>
      </c>
      <c r="C36" s="358">
        <f>VLOOKUP($A36,[0]!Data,208,FALSE)</f>
        <v>171308</v>
      </c>
      <c r="D36" s="358">
        <f>VLOOKUP($A36,[0]!Data,209,FALSE)</f>
        <v>14300</v>
      </c>
      <c r="E36" s="358">
        <f>VLOOKUP($A36,[0]!Data,210,FALSE)</f>
        <v>127235</v>
      </c>
      <c r="F36" s="358">
        <f>VLOOKUP($A36,[0]!Data,212,FALSE)</f>
        <v>0</v>
      </c>
      <c r="G36" s="358">
        <f>VLOOKUP($A36,[0]!Data,213,FALSE)</f>
        <v>314534</v>
      </c>
      <c r="H36" s="358">
        <f>VLOOKUP($A36,[0]!Data,214,FALSE)+VLOOKUP($A36,[0]!Data,225,FALSE)</f>
        <v>26427</v>
      </c>
      <c r="I36" s="358">
        <f>VLOOKUP($A36,[0]!Data,215,FALSE)+VLOOKUP($A36,[0]!Data,228,FALSE)</f>
        <v>1522</v>
      </c>
      <c r="J36" s="358">
        <f>VLOOKUP($A36,[0]!Data,222,FALSE)</f>
        <v>33376</v>
      </c>
      <c r="K36" s="358">
        <f>VLOOKUP($A36,[0]!Data,229,FALSE)</f>
        <v>2749</v>
      </c>
      <c r="L36" s="358">
        <f>VLOOKUP($A36,[0]!Data,233,FALSE)</f>
        <v>16342</v>
      </c>
      <c r="M36" s="358">
        <f>VLOOKUP($A36,[0]!Data,234,FALSE)</f>
        <v>62007</v>
      </c>
      <c r="N36" s="420">
        <f>VLOOKUP($A36,[0]!Data,239,FALSE)</f>
        <v>394962</v>
      </c>
    </row>
    <row r="37" spans="1:14" ht="14.25" x14ac:dyDescent="0.2">
      <c r="A37" s="40" t="s">
        <v>1585</v>
      </c>
      <c r="B37" s="40" t="s">
        <v>1316</v>
      </c>
      <c r="C37" s="358">
        <f>VLOOKUP($A37,[0]!Data,208,FALSE)</f>
        <v>102500</v>
      </c>
      <c r="D37" s="358">
        <f>VLOOKUP($A37,[0]!Data,209,FALSE)</f>
        <v>15226</v>
      </c>
      <c r="E37" s="358">
        <f>VLOOKUP($A37,[0]!Data,210,FALSE)</f>
        <v>97888</v>
      </c>
      <c r="F37" s="358">
        <f>VLOOKUP($A37,[0]!Data,212,FALSE)</f>
        <v>18</v>
      </c>
      <c r="G37" s="358">
        <f>VLOOKUP($A37,[0]!Data,213,FALSE)</f>
        <v>230028</v>
      </c>
      <c r="H37" s="358">
        <f>VLOOKUP($A37,[0]!Data,214,FALSE)+VLOOKUP($A37,[0]!Data,225,FALSE)</f>
        <v>12673</v>
      </c>
      <c r="I37" s="358">
        <f>VLOOKUP($A37,[0]!Data,215,FALSE)+VLOOKUP($A37,[0]!Data,228,FALSE)</f>
        <v>12982</v>
      </c>
      <c r="J37" s="358">
        <f>VLOOKUP($A37,[0]!Data,222,FALSE)</f>
        <v>3617</v>
      </c>
      <c r="K37" s="358">
        <f>VLOOKUP($A37,[0]!Data,229,FALSE)</f>
        <v>0</v>
      </c>
      <c r="L37" s="358">
        <f>VLOOKUP($A37,[0]!Data,233,FALSE)</f>
        <v>56072</v>
      </c>
      <c r="M37" s="358">
        <f>VLOOKUP($A37,[0]!Data,234,FALSE)</f>
        <v>60593</v>
      </c>
      <c r="N37" s="420">
        <f>VLOOKUP($A37,[0]!Data,239,FALSE)</f>
        <v>315379</v>
      </c>
    </row>
    <row r="38" spans="1:14" ht="14.25" x14ac:dyDescent="0.2">
      <c r="A38" s="40" t="s">
        <v>1352</v>
      </c>
      <c r="B38" s="40" t="s">
        <v>1955</v>
      </c>
      <c r="C38" s="358">
        <f>VLOOKUP($A38,[0]!Data,208,FALSE)</f>
        <v>37630</v>
      </c>
      <c r="D38" s="358">
        <f>VLOOKUP($A38,[0]!Data,209,FALSE)</f>
        <v>2173</v>
      </c>
      <c r="E38" s="358">
        <f>VLOOKUP($A38,[0]!Data,210,FALSE)</f>
        <v>26613</v>
      </c>
      <c r="F38" s="358">
        <f>VLOOKUP($A38,[0]!Data,212,FALSE)</f>
        <v>345</v>
      </c>
      <c r="G38" s="358">
        <f>VLOOKUP($A38,[0]!Data,213,FALSE)</f>
        <v>67038</v>
      </c>
      <c r="H38" s="358">
        <f>VLOOKUP($A38,[0]!Data,214,FALSE)+VLOOKUP($A38,[0]!Data,225,FALSE)</f>
        <v>7400</v>
      </c>
      <c r="I38" s="358">
        <f>VLOOKUP($A38,[0]!Data,215,FALSE)+VLOOKUP($A38,[0]!Data,228,FALSE)</f>
        <v>18935</v>
      </c>
      <c r="J38" s="358">
        <f>VLOOKUP($A38,[0]!Data,222,FALSE)</f>
        <v>11506</v>
      </c>
      <c r="K38" s="358">
        <f>VLOOKUP($A38,[0]!Data,229,FALSE)</f>
        <v>509</v>
      </c>
      <c r="L38" s="358">
        <f>VLOOKUP($A38,[0]!Data,233,FALSE)</f>
        <v>7244</v>
      </c>
      <c r="M38" s="358">
        <f>VLOOKUP($A38,[0]!Data,234,FALSE)</f>
        <v>21206</v>
      </c>
      <c r="N38" s="420">
        <f>VLOOKUP($A38,[0]!Data,239,FALSE)</f>
        <v>112834</v>
      </c>
    </row>
    <row r="39" spans="1:14" ht="14.25" x14ac:dyDescent="0.2">
      <c r="A39" s="40" t="s">
        <v>1365</v>
      </c>
      <c r="B39" s="40" t="s">
        <v>1956</v>
      </c>
      <c r="C39" s="358">
        <f>VLOOKUP($A39,[0]!Data,208,FALSE)</f>
        <v>75334</v>
      </c>
      <c r="D39" s="358">
        <f>VLOOKUP($A39,[0]!Data,209,FALSE)</f>
        <v>6237</v>
      </c>
      <c r="E39" s="358">
        <f>VLOOKUP($A39,[0]!Data,210,FALSE)</f>
        <v>78492</v>
      </c>
      <c r="F39" s="358">
        <f>VLOOKUP($A39,[0]!Data,212,FALSE)</f>
        <v>0</v>
      </c>
      <c r="G39" s="358">
        <f>VLOOKUP($A39,[0]!Data,213,FALSE)</f>
        <v>160063</v>
      </c>
      <c r="H39" s="358">
        <f>VLOOKUP($A39,[0]!Data,214,FALSE)+VLOOKUP($A39,[0]!Data,225,FALSE)</f>
        <v>19732</v>
      </c>
      <c r="I39" s="358">
        <f>VLOOKUP($A39,[0]!Data,215,FALSE)+VLOOKUP($A39,[0]!Data,228,FALSE)</f>
        <v>31097</v>
      </c>
      <c r="J39" s="358">
        <f>VLOOKUP($A39,[0]!Data,222,FALSE)</f>
        <v>16075</v>
      </c>
      <c r="K39" s="358">
        <f>VLOOKUP($A39,[0]!Data,229,FALSE)</f>
        <v>2123</v>
      </c>
      <c r="L39" s="358">
        <f>VLOOKUP($A39,[0]!Data,233,FALSE)</f>
        <v>22723</v>
      </c>
      <c r="M39" s="358">
        <f>VLOOKUP($A39,[0]!Data,234,FALSE)</f>
        <v>50728</v>
      </c>
      <c r="N39" s="420">
        <f>VLOOKUP($A39,[0]!Data,239,FALSE)</f>
        <v>251813</v>
      </c>
    </row>
    <row r="40" spans="1:14" ht="14.25" x14ac:dyDescent="0.2">
      <c r="A40" s="40" t="s">
        <v>1383</v>
      </c>
      <c r="B40" s="40" t="s">
        <v>1957</v>
      </c>
      <c r="C40" s="358">
        <f>VLOOKUP($A40,[0]!Data,208,FALSE)</f>
        <v>38231</v>
      </c>
      <c r="D40" s="358">
        <f>VLOOKUP($A40,[0]!Data,209,FALSE)</f>
        <v>3256</v>
      </c>
      <c r="E40" s="358">
        <f>VLOOKUP($A40,[0]!Data,210,FALSE)</f>
        <v>27703</v>
      </c>
      <c r="F40" s="358">
        <f>VLOOKUP($A40,[0]!Data,212,FALSE)</f>
        <v>892</v>
      </c>
      <c r="G40" s="358">
        <f>VLOOKUP($A40,[0]!Data,213,FALSE)</f>
        <v>70082</v>
      </c>
      <c r="H40" s="358">
        <f>VLOOKUP($A40,[0]!Data,214,FALSE)+VLOOKUP($A40,[0]!Data,225,FALSE)</f>
        <v>9098</v>
      </c>
      <c r="I40" s="358">
        <f>VLOOKUP($A40,[0]!Data,215,FALSE)+VLOOKUP($A40,[0]!Data,228,FALSE)</f>
        <v>25197</v>
      </c>
      <c r="J40" s="358">
        <f>VLOOKUP($A40,[0]!Data,222,FALSE)</f>
        <v>7050</v>
      </c>
      <c r="K40" s="358">
        <f>VLOOKUP($A40,[0]!Data,229,FALSE)</f>
        <v>151</v>
      </c>
      <c r="L40" s="358">
        <f>VLOOKUP($A40,[0]!Data,233,FALSE)</f>
        <v>6070</v>
      </c>
      <c r="M40" s="358">
        <f>VLOOKUP($A40,[0]!Data,234,FALSE)</f>
        <v>15428</v>
      </c>
      <c r="N40" s="420">
        <f>VLOOKUP($A40,[0]!Data,239,FALSE)</f>
        <v>117700</v>
      </c>
    </row>
    <row r="41" spans="1:14" ht="14.25" x14ac:dyDescent="0.2">
      <c r="A41" s="40" t="s">
        <v>1397</v>
      </c>
      <c r="B41" s="40" t="s">
        <v>1958</v>
      </c>
      <c r="C41" s="358">
        <f>VLOOKUP($A41,[0]!Data,208,FALSE)</f>
        <v>60702</v>
      </c>
      <c r="D41" s="358">
        <f>VLOOKUP($A41,[0]!Data,209,FALSE)</f>
        <v>5067</v>
      </c>
      <c r="E41" s="358">
        <f>VLOOKUP($A41,[0]!Data,210,FALSE)</f>
        <v>30984</v>
      </c>
      <c r="F41" s="358">
        <f>VLOOKUP($A41,[0]!Data,212,FALSE)</f>
        <v>2448</v>
      </c>
      <c r="G41" s="358">
        <f>VLOOKUP($A41,[0]!Data,213,FALSE)</f>
        <v>99347</v>
      </c>
      <c r="H41" s="358">
        <f>VLOOKUP($A41,[0]!Data,214,FALSE)+VLOOKUP($A41,[0]!Data,225,FALSE)</f>
        <v>12776</v>
      </c>
      <c r="I41" s="358">
        <f>VLOOKUP($A41,[0]!Data,215,FALSE)+VLOOKUP($A41,[0]!Data,228,FALSE)</f>
        <v>41216</v>
      </c>
      <c r="J41" s="358">
        <f>VLOOKUP($A41,[0]!Data,222,FALSE)</f>
        <v>12913</v>
      </c>
      <c r="K41" s="358">
        <f>VLOOKUP($A41,[0]!Data,229,FALSE)</f>
        <v>233</v>
      </c>
      <c r="L41" s="358">
        <f>VLOOKUP($A41,[0]!Data,233,FALSE)</f>
        <v>645</v>
      </c>
      <c r="M41" s="358">
        <f>VLOOKUP($A41,[0]!Data,234,FALSE)</f>
        <v>16288</v>
      </c>
      <c r="N41" s="420">
        <f>VLOOKUP($A41,[0]!Data,239,FALSE)</f>
        <v>167131</v>
      </c>
    </row>
    <row r="42" spans="1:14" ht="14.25" x14ac:dyDescent="0.2">
      <c r="A42" s="40" t="s">
        <v>915</v>
      </c>
      <c r="B42" s="40" t="s">
        <v>1959</v>
      </c>
      <c r="C42" s="358">
        <f>VLOOKUP($A42,[0]!Data,208,FALSE)</f>
        <v>1466838</v>
      </c>
      <c r="D42" s="358">
        <f>VLOOKUP($A42,[0]!Data,209,FALSE)</f>
        <v>213838</v>
      </c>
      <c r="E42" s="358">
        <f>VLOOKUP($A42,[0]!Data,210,FALSE)</f>
        <v>2348603</v>
      </c>
      <c r="F42" s="358">
        <f>VLOOKUP($A42,[0]!Data,212,FALSE)</f>
        <v>0</v>
      </c>
      <c r="G42" s="358">
        <f>VLOOKUP($A42,[0]!Data,213,FALSE)</f>
        <v>4029279</v>
      </c>
      <c r="H42" s="358">
        <f>VLOOKUP($A42,[0]!Data,214,FALSE)+VLOOKUP($A42,[0]!Data,225,FALSE)</f>
        <v>558538</v>
      </c>
      <c r="I42" s="358">
        <f>VLOOKUP($A42,[0]!Data,215,FALSE)+VLOOKUP($A42,[0]!Data,228,FALSE)</f>
        <v>476202</v>
      </c>
      <c r="J42" s="358">
        <f>VLOOKUP($A42,[0]!Data,222,FALSE)</f>
        <v>924499</v>
      </c>
      <c r="K42" s="358">
        <f>VLOOKUP($A42,[0]!Data,229,FALSE)</f>
        <v>50816</v>
      </c>
      <c r="L42" s="358">
        <f>VLOOKUP($A42,[0]!Data,233,FALSE)</f>
        <v>2757457</v>
      </c>
      <c r="M42" s="358">
        <f>VLOOKUP($A42,[0]!Data,234,FALSE)</f>
        <v>3997768</v>
      </c>
      <c r="N42" s="420">
        <f>VLOOKUP($A42,[0]!Data,239,FALSE)</f>
        <v>8796791</v>
      </c>
    </row>
    <row r="43" spans="1:14" ht="14.25" x14ac:dyDescent="0.2">
      <c r="A43" s="40" t="s">
        <v>789</v>
      </c>
      <c r="B43" s="40" t="s">
        <v>1960</v>
      </c>
      <c r="C43" s="358">
        <f>VLOOKUP($A43,[0]!Data,208,FALSE)</f>
        <v>68008</v>
      </c>
      <c r="D43" s="358">
        <f>VLOOKUP($A43,[0]!Data,209,FALSE)</f>
        <v>9189</v>
      </c>
      <c r="E43" s="358">
        <f>VLOOKUP($A43,[0]!Data,210,FALSE)</f>
        <v>80904</v>
      </c>
      <c r="F43" s="358">
        <f>VLOOKUP($A43,[0]!Data,212,FALSE)</f>
        <v>475</v>
      </c>
      <c r="G43" s="358">
        <f>VLOOKUP($A43,[0]!Data,213,FALSE)</f>
        <v>158576</v>
      </c>
      <c r="H43" s="358">
        <f>VLOOKUP($A43,[0]!Data,214,FALSE)+VLOOKUP($A43,[0]!Data,225,FALSE)</f>
        <v>10351</v>
      </c>
      <c r="I43" s="358">
        <f>VLOOKUP($A43,[0]!Data,215,FALSE)+VLOOKUP($A43,[0]!Data,228,FALSE)</f>
        <v>26102</v>
      </c>
      <c r="J43" s="358">
        <f>VLOOKUP($A43,[0]!Data,222,FALSE)</f>
        <v>17980</v>
      </c>
      <c r="K43" s="358">
        <f>VLOOKUP($A43,[0]!Data,229,FALSE)</f>
        <v>523</v>
      </c>
      <c r="L43" s="358">
        <f>VLOOKUP($A43,[0]!Data,233,FALSE)</f>
        <v>8730</v>
      </c>
      <c r="M43" s="358">
        <f>VLOOKUP($A43,[0]!Data,234,FALSE)</f>
        <v>29860</v>
      </c>
      <c r="N43" s="420">
        <f>VLOOKUP($A43,[0]!Data,239,FALSE)</f>
        <v>223391</v>
      </c>
    </row>
    <row r="44" spans="1:14" ht="14.25" x14ac:dyDescent="0.2">
      <c r="A44" s="40" t="s">
        <v>1456</v>
      </c>
      <c r="B44" s="40" t="s">
        <v>1961</v>
      </c>
      <c r="C44" s="358">
        <f>VLOOKUP($A44,[0]!Data,208,FALSE)</f>
        <v>445204</v>
      </c>
      <c r="D44" s="358">
        <f>VLOOKUP($A44,[0]!Data,209,FALSE)</f>
        <v>30156</v>
      </c>
      <c r="E44" s="358">
        <f>VLOOKUP($A44,[0]!Data,210,FALSE)</f>
        <v>383063</v>
      </c>
      <c r="F44" s="358">
        <f>VLOOKUP($A44,[0]!Data,212,FALSE)</f>
        <v>8077</v>
      </c>
      <c r="G44" s="358">
        <f>VLOOKUP($A44,[0]!Data,213,FALSE)</f>
        <v>867158</v>
      </c>
      <c r="H44" s="358">
        <f>VLOOKUP($A44,[0]!Data,214,FALSE)+VLOOKUP($A44,[0]!Data,225,FALSE)</f>
        <v>117461</v>
      </c>
      <c r="I44" s="358">
        <f>VLOOKUP($A44,[0]!Data,215,FALSE)+VLOOKUP($A44,[0]!Data,228,FALSE)</f>
        <v>206674</v>
      </c>
      <c r="J44" s="358">
        <f>VLOOKUP($A44,[0]!Data,222,FALSE)</f>
        <v>95622</v>
      </c>
      <c r="K44" s="358">
        <f>VLOOKUP($A44,[0]!Data,229,FALSE)</f>
        <v>2671</v>
      </c>
      <c r="L44" s="358">
        <f>VLOOKUP($A44,[0]!Data,233,FALSE)</f>
        <v>268507</v>
      </c>
      <c r="M44" s="358">
        <f>VLOOKUP($A44,[0]!Data,234,FALSE)</f>
        <v>413161</v>
      </c>
      <c r="N44" s="420">
        <f>VLOOKUP($A44,[0]!Data,239,FALSE)</f>
        <v>1558268</v>
      </c>
    </row>
    <row r="45" spans="1:14" ht="14.25" x14ac:dyDescent="0.2">
      <c r="A45" s="40" t="s">
        <v>1489</v>
      </c>
      <c r="B45" s="40" t="s">
        <v>1962</v>
      </c>
      <c r="C45" s="358">
        <f>VLOOKUP($A45,[0]!Data,208,FALSE)</f>
        <v>134515</v>
      </c>
      <c r="D45" s="358">
        <f>VLOOKUP($A45,[0]!Data,209,FALSE)</f>
        <v>20357</v>
      </c>
      <c r="E45" s="358">
        <f>VLOOKUP($A45,[0]!Data,210,FALSE)</f>
        <v>199831</v>
      </c>
      <c r="F45" s="358">
        <f>VLOOKUP($A45,[0]!Data,212,FALSE)</f>
        <v>687</v>
      </c>
      <c r="G45" s="358">
        <f>VLOOKUP($A45,[0]!Data,213,FALSE)</f>
        <v>356885</v>
      </c>
      <c r="H45" s="358">
        <f>VLOOKUP($A45,[0]!Data,214,FALSE)+VLOOKUP($A45,[0]!Data,225,FALSE)</f>
        <v>44854</v>
      </c>
      <c r="I45" s="358">
        <f>VLOOKUP($A45,[0]!Data,215,FALSE)+VLOOKUP($A45,[0]!Data,228,FALSE)</f>
        <v>97731</v>
      </c>
      <c r="J45" s="358">
        <f>VLOOKUP($A45,[0]!Data,222,FALSE)</f>
        <v>33605</v>
      </c>
      <c r="K45" s="358">
        <f>VLOOKUP($A45,[0]!Data,229,FALSE)</f>
        <v>2810</v>
      </c>
      <c r="L45" s="358">
        <f>VLOOKUP($A45,[0]!Data,233,FALSE)</f>
        <v>136147</v>
      </c>
      <c r="M45" s="358">
        <f>VLOOKUP($A45,[0]!Data,234,FALSE)</f>
        <v>190869</v>
      </c>
      <c r="N45" s="420">
        <f>VLOOKUP($A45,[0]!Data,239,FALSE)</f>
        <v>672126</v>
      </c>
    </row>
    <row r="46" spans="1:14" ht="14.25" x14ac:dyDescent="0.2">
      <c r="A46" s="40" t="s">
        <v>1501</v>
      </c>
      <c r="B46" s="40" t="s">
        <v>1516</v>
      </c>
      <c r="C46" s="358">
        <f>VLOOKUP($A46,[0]!Data,208,FALSE)</f>
        <v>105820</v>
      </c>
      <c r="D46" s="358">
        <f>VLOOKUP($A46,[0]!Data,209,FALSE)</f>
        <v>16418</v>
      </c>
      <c r="E46" s="358">
        <f>VLOOKUP($A46,[0]!Data,210,FALSE)</f>
        <v>190240</v>
      </c>
      <c r="F46" s="358">
        <f>VLOOKUP($A46,[0]!Data,212,FALSE)</f>
        <v>3823</v>
      </c>
      <c r="G46" s="358">
        <f>VLOOKUP($A46,[0]!Data,213,FALSE)</f>
        <v>316301</v>
      </c>
      <c r="H46" s="358">
        <f>VLOOKUP($A46,[0]!Data,214,FALSE)+VLOOKUP($A46,[0]!Data,225,FALSE)</f>
        <v>26911</v>
      </c>
      <c r="I46" s="358">
        <f>VLOOKUP($A46,[0]!Data,215,FALSE)+VLOOKUP($A46,[0]!Data,228,FALSE)</f>
        <v>59438</v>
      </c>
      <c r="J46" s="358">
        <f>VLOOKUP($A46,[0]!Data,222,FALSE)</f>
        <v>8292</v>
      </c>
      <c r="K46" s="358">
        <f>VLOOKUP($A46,[0]!Data,229,FALSE)</f>
        <v>0</v>
      </c>
      <c r="L46" s="358">
        <f>VLOOKUP($A46,[0]!Data,233,FALSE)</f>
        <v>13893</v>
      </c>
      <c r="M46" s="358">
        <f>VLOOKUP($A46,[0]!Data,234,FALSE)</f>
        <v>25801</v>
      </c>
      <c r="N46" s="420">
        <f>VLOOKUP($A46,[0]!Data,239,FALSE)</f>
        <v>427632</v>
      </c>
    </row>
    <row r="47" spans="1:14" ht="14.25" x14ac:dyDescent="0.2">
      <c r="A47" s="40" t="s">
        <v>1518</v>
      </c>
      <c r="B47" s="40" t="s">
        <v>1963</v>
      </c>
      <c r="C47" s="358">
        <f>VLOOKUP($A47,[0]!Data,208,FALSE)</f>
        <v>83452</v>
      </c>
      <c r="D47" s="358">
        <f>VLOOKUP($A47,[0]!Data,209,FALSE)</f>
        <v>8645</v>
      </c>
      <c r="E47" s="358">
        <f>VLOOKUP($A47,[0]!Data,210,FALSE)</f>
        <v>82801</v>
      </c>
      <c r="F47" s="358">
        <f>VLOOKUP($A47,[0]!Data,212,FALSE)</f>
        <v>514</v>
      </c>
      <c r="G47" s="358">
        <f>VLOOKUP($A47,[0]!Data,213,FALSE)</f>
        <v>175519</v>
      </c>
      <c r="H47" s="358">
        <f>VLOOKUP($A47,[0]!Data,214,FALSE)+VLOOKUP($A47,[0]!Data,225,FALSE)</f>
        <v>11468</v>
      </c>
      <c r="I47" s="358">
        <f>VLOOKUP($A47,[0]!Data,215,FALSE)+VLOOKUP($A47,[0]!Data,228,FALSE)</f>
        <v>19544</v>
      </c>
      <c r="J47" s="358">
        <f>VLOOKUP($A47,[0]!Data,222,FALSE)</f>
        <v>15676</v>
      </c>
      <c r="K47" s="358">
        <f>VLOOKUP($A47,[0]!Data,229,FALSE)</f>
        <v>1423</v>
      </c>
      <c r="L47" s="358">
        <f>VLOOKUP($A47,[0]!Data,233,FALSE)</f>
        <v>17548</v>
      </c>
      <c r="M47" s="358">
        <f>VLOOKUP($A47,[0]!Data,234,FALSE)</f>
        <v>36555</v>
      </c>
      <c r="N47" s="420">
        <f>VLOOKUP($A47,[0]!Data,239,FALSE)</f>
        <v>241383</v>
      </c>
    </row>
    <row r="48" spans="1:14" ht="14.25" x14ac:dyDescent="0.2">
      <c r="A48" s="40" t="s">
        <v>1544</v>
      </c>
      <c r="B48" s="40" t="s">
        <v>1964</v>
      </c>
      <c r="C48" s="358">
        <f>VLOOKUP($A48,[0]!Data,208,FALSE)</f>
        <v>48976</v>
      </c>
      <c r="D48" s="358">
        <f>VLOOKUP($A48,[0]!Data,209,FALSE)</f>
        <v>3037</v>
      </c>
      <c r="E48" s="358">
        <f>VLOOKUP($A48,[0]!Data,210,FALSE)</f>
        <v>78963</v>
      </c>
      <c r="F48" s="358">
        <f>VLOOKUP($A48,[0]!Data,212,FALSE)</f>
        <v>3626</v>
      </c>
      <c r="G48" s="358">
        <f>VLOOKUP($A48,[0]!Data,213,FALSE)</f>
        <v>139771</v>
      </c>
      <c r="H48" s="358">
        <f>VLOOKUP($A48,[0]!Data,214,FALSE)+VLOOKUP($A48,[0]!Data,225,FALSE)</f>
        <v>5820</v>
      </c>
      <c r="I48" s="358">
        <f>VLOOKUP($A48,[0]!Data,215,FALSE)+VLOOKUP($A48,[0]!Data,228,FALSE)</f>
        <v>10358</v>
      </c>
      <c r="J48" s="358">
        <f>VLOOKUP($A48,[0]!Data,222,FALSE)</f>
        <v>6690</v>
      </c>
      <c r="K48" s="358">
        <f>VLOOKUP($A48,[0]!Data,229,FALSE)</f>
        <v>183</v>
      </c>
      <c r="L48" s="358">
        <f>VLOOKUP($A48,[0]!Data,233,FALSE)</f>
        <v>993</v>
      </c>
      <c r="M48" s="358">
        <f>VLOOKUP($A48,[0]!Data,234,FALSE)</f>
        <v>9361</v>
      </c>
      <c r="N48" s="420">
        <f>VLOOKUP($A48,[0]!Data,239,FALSE)</f>
        <v>192163</v>
      </c>
    </row>
    <row r="49" spans="1:14" ht="14.25" x14ac:dyDescent="0.2">
      <c r="A49" s="40" t="s">
        <v>1727</v>
      </c>
      <c r="B49" s="40" t="s">
        <v>1965</v>
      </c>
      <c r="C49" s="358">
        <f>VLOOKUP($A49,[0]!Data,208,FALSE)</f>
        <v>171592</v>
      </c>
      <c r="D49" s="358">
        <f>VLOOKUP($A49,[0]!Data,209,FALSE)</f>
        <v>19813</v>
      </c>
      <c r="E49" s="358">
        <f>VLOOKUP($A49,[0]!Data,210,FALSE)</f>
        <v>226229</v>
      </c>
      <c r="F49" s="358">
        <f>VLOOKUP($A49,[0]!Data,212,FALSE)</f>
        <v>1505</v>
      </c>
      <c r="G49" s="358">
        <f>VLOOKUP($A49,[0]!Data,213,FALSE)</f>
        <v>419139</v>
      </c>
      <c r="H49" s="358">
        <f>VLOOKUP($A49,[0]!Data,214,FALSE)+VLOOKUP($A49,[0]!Data,225,FALSE)</f>
        <v>33105</v>
      </c>
      <c r="I49" s="358">
        <f>VLOOKUP($A49,[0]!Data,215,FALSE)+VLOOKUP($A49,[0]!Data,228,FALSE)</f>
        <v>17480</v>
      </c>
      <c r="J49" s="358">
        <f>VLOOKUP($A49,[0]!Data,222,FALSE)</f>
        <v>8238</v>
      </c>
      <c r="K49" s="358">
        <f>VLOOKUP($A49,[0]!Data,229,FALSE)</f>
        <v>2065</v>
      </c>
      <c r="L49" s="358">
        <f>VLOOKUP($A49,[0]!Data,233,FALSE)</f>
        <v>555872</v>
      </c>
      <c r="M49" s="358">
        <f>VLOOKUP($A49,[0]!Data,234,FALSE)</f>
        <v>575080</v>
      </c>
      <c r="N49" s="420">
        <f>VLOOKUP($A49,[0]!Data,239,FALSE)</f>
        <v>1035899</v>
      </c>
    </row>
    <row r="50" spans="1:14" ht="14.25" x14ac:dyDescent="0.2">
      <c r="A50" s="40" t="s">
        <v>1573</v>
      </c>
      <c r="B50" s="40" t="s">
        <v>1966</v>
      </c>
      <c r="C50" s="358">
        <f>VLOOKUP($A50,[0]!Data,208,FALSE)</f>
        <v>55430</v>
      </c>
      <c r="D50" s="358">
        <f>VLOOKUP($A50,[0]!Data,209,FALSE)</f>
        <v>4072</v>
      </c>
      <c r="E50" s="358">
        <f>VLOOKUP($A50,[0]!Data,210,FALSE)</f>
        <v>25730</v>
      </c>
      <c r="F50" s="358">
        <f>VLOOKUP($A50,[0]!Data,212,FALSE)</f>
        <v>922</v>
      </c>
      <c r="G50" s="358">
        <f>VLOOKUP($A50,[0]!Data,213,FALSE)</f>
        <v>86154</v>
      </c>
      <c r="H50" s="358">
        <f>VLOOKUP($A50,[0]!Data,214,FALSE)+VLOOKUP($A50,[0]!Data,225,FALSE)</f>
        <v>10979</v>
      </c>
      <c r="I50" s="358">
        <f>VLOOKUP($A50,[0]!Data,215,FALSE)+VLOOKUP($A50,[0]!Data,228,FALSE)</f>
        <v>55729</v>
      </c>
      <c r="J50" s="358">
        <f>VLOOKUP($A50,[0]!Data,222,FALSE)</f>
        <v>5920</v>
      </c>
      <c r="K50" s="358">
        <f>VLOOKUP($A50,[0]!Data,229,FALSE)</f>
        <v>186</v>
      </c>
      <c r="L50" s="358">
        <f>VLOOKUP($A50,[0]!Data,233,FALSE)</f>
        <v>495</v>
      </c>
      <c r="M50" s="358">
        <f>VLOOKUP($A50,[0]!Data,234,FALSE)</f>
        <v>11100</v>
      </c>
      <c r="N50" s="420">
        <f>VLOOKUP($A50,[0]!Data,239,FALSE)</f>
        <v>159463</v>
      </c>
    </row>
    <row r="51" spans="1:14" ht="14.25" x14ac:dyDescent="0.2">
      <c r="A51" s="40" t="s">
        <v>1597</v>
      </c>
      <c r="B51" s="40" t="s">
        <v>1967</v>
      </c>
      <c r="C51" s="358">
        <f>VLOOKUP($A51,[0]!Data,208,FALSE)</f>
        <v>182106</v>
      </c>
      <c r="D51" s="358">
        <f>VLOOKUP($A51,[0]!Data,209,FALSE)</f>
        <v>21554</v>
      </c>
      <c r="E51" s="358">
        <f>VLOOKUP($A51,[0]!Data,210,FALSE)</f>
        <v>147518</v>
      </c>
      <c r="F51" s="358">
        <f>VLOOKUP($A51,[0]!Data,212,FALSE)</f>
        <v>1377</v>
      </c>
      <c r="G51" s="358">
        <f>VLOOKUP($A51,[0]!Data,213,FALSE)</f>
        <v>352555</v>
      </c>
      <c r="H51" s="358">
        <f>VLOOKUP($A51,[0]!Data,214,FALSE)+VLOOKUP($A51,[0]!Data,225,FALSE)</f>
        <v>19490</v>
      </c>
      <c r="I51" s="358">
        <f>VLOOKUP($A51,[0]!Data,215,FALSE)+VLOOKUP($A51,[0]!Data,228,FALSE)</f>
        <v>130124</v>
      </c>
      <c r="J51" s="358">
        <f>VLOOKUP($A51,[0]!Data,222,FALSE)</f>
        <v>24365</v>
      </c>
      <c r="K51" s="358">
        <f>VLOOKUP($A51,[0]!Data,229,FALSE)</f>
        <v>2270</v>
      </c>
      <c r="L51" s="358">
        <f>VLOOKUP($A51,[0]!Data,233,FALSE)</f>
        <v>71778</v>
      </c>
      <c r="M51" s="358">
        <f>VLOOKUP($A51,[0]!Data,234,FALSE)</f>
        <v>105653</v>
      </c>
      <c r="N51" s="420">
        <f>VLOOKUP($A51,[0]!Data,239,FALSE)</f>
        <v>600582</v>
      </c>
    </row>
    <row r="52" spans="1:14" ht="14.25" x14ac:dyDescent="0.2">
      <c r="A52" s="40" t="s">
        <v>1625</v>
      </c>
      <c r="B52" s="40" t="s">
        <v>1968</v>
      </c>
      <c r="C52" s="358">
        <f>VLOOKUP($A52,[0]!Data,208,FALSE)</f>
        <v>42880</v>
      </c>
      <c r="D52" s="358">
        <f>VLOOKUP($A52,[0]!Data,209,FALSE)</f>
        <v>6061</v>
      </c>
      <c r="E52" s="358">
        <f>VLOOKUP($A52,[0]!Data,210,FALSE)</f>
        <v>42538</v>
      </c>
      <c r="F52" s="358">
        <f>VLOOKUP($A52,[0]!Data,212,FALSE)</f>
        <v>0</v>
      </c>
      <c r="G52" s="358">
        <f>VLOOKUP($A52,[0]!Data,213,FALSE)</f>
        <v>91479</v>
      </c>
      <c r="H52" s="358">
        <f>VLOOKUP($A52,[0]!Data,214,FALSE)+VLOOKUP($A52,[0]!Data,225,FALSE)</f>
        <v>1227</v>
      </c>
      <c r="I52" s="358">
        <f>VLOOKUP($A52,[0]!Data,215,FALSE)+VLOOKUP($A52,[0]!Data,228,FALSE)</f>
        <v>19174</v>
      </c>
      <c r="J52" s="358">
        <f>VLOOKUP($A52,[0]!Data,222,FALSE)</f>
        <v>864</v>
      </c>
      <c r="K52" s="358">
        <f>VLOOKUP($A52,[0]!Data,229,FALSE)</f>
        <v>0</v>
      </c>
      <c r="L52" s="358">
        <f>VLOOKUP($A52,[0]!Data,233,FALSE)</f>
        <v>2173</v>
      </c>
      <c r="M52" s="358">
        <f>VLOOKUP($A52,[0]!Data,234,FALSE)</f>
        <v>3169</v>
      </c>
      <c r="N52" s="420">
        <f>VLOOKUP($A52,[0]!Data,239,FALSE)</f>
        <v>114917</v>
      </c>
    </row>
    <row r="53" spans="1:14" ht="14.25" x14ac:dyDescent="0.2">
      <c r="A53" s="40" t="s">
        <v>1638</v>
      </c>
      <c r="B53" s="40" t="s">
        <v>1969</v>
      </c>
      <c r="C53" s="358">
        <f>VLOOKUP($A53,[0]!Data,208,FALSE)</f>
        <v>148391</v>
      </c>
      <c r="D53" s="358">
        <f>VLOOKUP($A53,[0]!Data,209,FALSE)</f>
        <v>13481</v>
      </c>
      <c r="E53" s="358">
        <f>VLOOKUP($A53,[0]!Data,210,FALSE)</f>
        <v>72891</v>
      </c>
      <c r="F53" s="358">
        <f>VLOOKUP($A53,[0]!Data,212,FALSE)</f>
        <v>4242</v>
      </c>
      <c r="G53" s="358">
        <f>VLOOKUP($A53,[0]!Data,213,FALSE)</f>
        <v>240906</v>
      </c>
      <c r="H53" s="358">
        <f>VLOOKUP($A53,[0]!Data,214,FALSE)+VLOOKUP($A53,[0]!Data,225,FALSE)</f>
        <v>10934</v>
      </c>
      <c r="I53" s="358">
        <f>VLOOKUP($A53,[0]!Data,215,FALSE)+VLOOKUP($A53,[0]!Data,228,FALSE)</f>
        <v>72955</v>
      </c>
      <c r="J53" s="358">
        <f>VLOOKUP($A53,[0]!Data,222,FALSE)</f>
        <v>3261</v>
      </c>
      <c r="K53" s="358">
        <f>VLOOKUP($A53,[0]!Data,229,FALSE)</f>
        <v>3183</v>
      </c>
      <c r="L53" s="358">
        <f>VLOOKUP($A53,[0]!Data,233,FALSE)</f>
        <v>50749</v>
      </c>
      <c r="M53" s="358">
        <f>VLOOKUP($A53,[0]!Data,234,FALSE)</f>
        <v>57324</v>
      </c>
      <c r="N53" s="420">
        <f>VLOOKUP($A53,[0]!Data,239,FALSE)</f>
        <v>382183</v>
      </c>
    </row>
    <row r="54" spans="1:14" ht="14.25" x14ac:dyDescent="0.2">
      <c r="A54" s="40" t="s">
        <v>1655</v>
      </c>
      <c r="B54" s="40" t="s">
        <v>1970</v>
      </c>
      <c r="C54" s="358">
        <f>VLOOKUP($A54,[0]!Data,208,FALSE)</f>
        <v>207148</v>
      </c>
      <c r="D54" s="358">
        <f>VLOOKUP($A54,[0]!Data,209,FALSE)</f>
        <v>22557</v>
      </c>
      <c r="E54" s="358">
        <f>VLOOKUP($A54,[0]!Data,210,FALSE)</f>
        <v>174937</v>
      </c>
      <c r="F54" s="358">
        <f>VLOOKUP($A54,[0]!Data,212,FALSE)</f>
        <v>0</v>
      </c>
      <c r="G54" s="358">
        <f>VLOOKUP($A54,[0]!Data,213,FALSE)</f>
        <v>404642</v>
      </c>
      <c r="H54" s="358">
        <f>VLOOKUP($A54,[0]!Data,214,FALSE)+VLOOKUP($A54,[0]!Data,225,FALSE)</f>
        <v>28529</v>
      </c>
      <c r="I54" s="358">
        <f>VLOOKUP($A54,[0]!Data,215,FALSE)+VLOOKUP($A54,[0]!Data,228,FALSE)</f>
        <v>88432</v>
      </c>
      <c r="J54" s="358">
        <f>VLOOKUP($A54,[0]!Data,222,FALSE)</f>
        <v>26336</v>
      </c>
      <c r="K54" s="358">
        <f>VLOOKUP($A54,[0]!Data,229,FALSE)</f>
        <v>1373</v>
      </c>
      <c r="L54" s="358">
        <f>VLOOKUP($A54,[0]!Data,233,FALSE)</f>
        <v>170104</v>
      </c>
      <c r="M54" s="358">
        <f>VLOOKUP($A54,[0]!Data,234,FALSE)</f>
        <v>209718</v>
      </c>
      <c r="N54" s="420">
        <f>VLOOKUP($A54,[0]!Data,239,FALSE)</f>
        <v>719516</v>
      </c>
    </row>
    <row r="55" spans="1:14" ht="14.25" x14ac:dyDescent="0.2">
      <c r="A55" s="40" t="s">
        <v>1671</v>
      </c>
      <c r="B55" s="40" t="s">
        <v>1971</v>
      </c>
      <c r="C55" s="358">
        <f>VLOOKUP($A55,[0]!Data,208,FALSE)</f>
        <v>68020</v>
      </c>
      <c r="D55" s="358">
        <f>VLOOKUP($A55,[0]!Data,209,FALSE)</f>
        <v>5586</v>
      </c>
      <c r="E55" s="358">
        <f>VLOOKUP($A55,[0]!Data,210,FALSE)</f>
        <v>45582</v>
      </c>
      <c r="F55" s="358">
        <f>VLOOKUP($A55,[0]!Data,212,FALSE)</f>
        <v>11439</v>
      </c>
      <c r="G55" s="358">
        <f>VLOOKUP($A55,[0]!Data,213,FALSE)</f>
        <v>130627</v>
      </c>
      <c r="H55" s="358">
        <f>VLOOKUP($A55,[0]!Data,214,FALSE)+VLOOKUP($A55,[0]!Data,225,FALSE)</f>
        <v>14739</v>
      </c>
      <c r="I55" s="358">
        <f>VLOOKUP($A55,[0]!Data,215,FALSE)+VLOOKUP($A55,[0]!Data,228,FALSE)</f>
        <v>57613</v>
      </c>
      <c r="J55" s="358">
        <f>VLOOKUP($A55,[0]!Data,222,FALSE)</f>
        <v>10330</v>
      </c>
      <c r="K55" s="358">
        <f>VLOOKUP($A55,[0]!Data,229,FALSE)</f>
        <v>12</v>
      </c>
      <c r="L55" s="358">
        <f>VLOOKUP($A55,[0]!Data,233,FALSE)</f>
        <v>15881</v>
      </c>
      <c r="M55" s="358">
        <f>VLOOKUP($A55,[0]!Data,234,FALSE)</f>
        <v>32118</v>
      </c>
      <c r="N55" s="420">
        <f>VLOOKUP($A55,[0]!Data,239,FALSE)</f>
        <v>229202</v>
      </c>
    </row>
    <row r="56" spans="1:14" ht="14.25" x14ac:dyDescent="0.2">
      <c r="A56" s="40" t="s">
        <v>1683</v>
      </c>
      <c r="B56" s="40" t="s">
        <v>1972</v>
      </c>
      <c r="C56" s="358">
        <f>VLOOKUP($A56,[0]!Data,208,FALSE)</f>
        <v>60969</v>
      </c>
      <c r="D56" s="358">
        <f>VLOOKUP($A56,[0]!Data,209,FALSE)</f>
        <v>3400</v>
      </c>
      <c r="E56" s="358">
        <f>VLOOKUP($A56,[0]!Data,210,FALSE)</f>
        <v>63675</v>
      </c>
      <c r="F56" s="358">
        <f>VLOOKUP($A56,[0]!Data,212,FALSE)</f>
        <v>4304</v>
      </c>
      <c r="G56" s="358">
        <f>VLOOKUP($A56,[0]!Data,213,FALSE)</f>
        <v>138446</v>
      </c>
      <c r="H56" s="358">
        <f>VLOOKUP($A56,[0]!Data,214,FALSE)+VLOOKUP($A56,[0]!Data,225,FALSE)</f>
        <v>1300</v>
      </c>
      <c r="I56" s="358">
        <f>VLOOKUP($A56,[0]!Data,215,FALSE)+VLOOKUP($A56,[0]!Data,228,FALSE)</f>
        <v>20725</v>
      </c>
      <c r="J56" s="358">
        <f>VLOOKUP($A56,[0]!Data,222,FALSE)</f>
        <v>2246</v>
      </c>
      <c r="K56" s="358">
        <f>VLOOKUP($A56,[0]!Data,229,FALSE)</f>
        <v>18</v>
      </c>
      <c r="L56" s="358">
        <f>VLOOKUP($A56,[0]!Data,233,FALSE)</f>
        <v>4345</v>
      </c>
      <c r="M56" s="358">
        <f>VLOOKUP($A56,[0]!Data,234,FALSE)</f>
        <v>6927</v>
      </c>
      <c r="N56" s="420">
        <f>VLOOKUP($A56,[0]!Data,239,FALSE)</f>
        <v>167081</v>
      </c>
    </row>
    <row r="57" spans="1:14" ht="14.25" x14ac:dyDescent="0.2">
      <c r="A57" s="40" t="s">
        <v>1714</v>
      </c>
      <c r="B57" s="40" t="s">
        <v>1973</v>
      </c>
      <c r="C57" s="358">
        <f>VLOOKUP($A57,[0]!Data,208,FALSE)</f>
        <v>23273</v>
      </c>
      <c r="D57" s="358">
        <f>VLOOKUP($A57,[0]!Data,209,FALSE)</f>
        <v>2879</v>
      </c>
      <c r="E57" s="358">
        <f>VLOOKUP($A57,[0]!Data,210,FALSE)</f>
        <v>14608</v>
      </c>
      <c r="F57" s="358">
        <f>VLOOKUP($A57,[0]!Data,212,FALSE)</f>
        <v>0</v>
      </c>
      <c r="G57" s="358">
        <f>VLOOKUP($A57,[0]!Data,213,FALSE)</f>
        <v>40790</v>
      </c>
      <c r="H57" s="358">
        <f>VLOOKUP($A57,[0]!Data,214,FALSE)+VLOOKUP($A57,[0]!Data,225,FALSE)</f>
        <v>2462</v>
      </c>
      <c r="I57" s="358">
        <f>VLOOKUP($A57,[0]!Data,215,FALSE)+VLOOKUP($A57,[0]!Data,228,FALSE)</f>
        <v>14320</v>
      </c>
      <c r="J57" s="358">
        <f>VLOOKUP($A57,[0]!Data,222,FALSE)</f>
        <v>1856</v>
      </c>
      <c r="K57" s="358">
        <f>VLOOKUP($A57,[0]!Data,229,FALSE)</f>
        <v>19</v>
      </c>
      <c r="L57" s="358">
        <f>VLOOKUP($A57,[0]!Data,233,FALSE)</f>
        <v>3925</v>
      </c>
      <c r="M57" s="358">
        <f>VLOOKUP($A57,[0]!Data,234,FALSE)</f>
        <v>6027</v>
      </c>
      <c r="N57" s="420">
        <f>VLOOKUP($A57,[0]!Data,239,FALSE)</f>
        <v>63372</v>
      </c>
    </row>
    <row r="58" spans="1:14" ht="14.25" x14ac:dyDescent="0.2">
      <c r="A58" s="40" t="s">
        <v>1756</v>
      </c>
      <c r="B58" s="40" t="s">
        <v>1974</v>
      </c>
      <c r="C58" s="358">
        <f>VLOOKUP($A58,[0]!Data,208,FALSE)</f>
        <v>70723</v>
      </c>
      <c r="D58" s="358">
        <f>VLOOKUP($A58,[0]!Data,209,FALSE)</f>
        <v>3072</v>
      </c>
      <c r="E58" s="358">
        <f>VLOOKUP($A58,[0]!Data,210,FALSE)</f>
        <v>47211</v>
      </c>
      <c r="F58" s="358">
        <f>VLOOKUP($A58,[0]!Data,212,FALSE)</f>
        <v>916</v>
      </c>
      <c r="G58" s="358">
        <f>VLOOKUP($A58,[0]!Data,213,FALSE)</f>
        <v>121939</v>
      </c>
      <c r="H58" s="358">
        <f>VLOOKUP($A58,[0]!Data,214,FALSE)+VLOOKUP($A58,[0]!Data,225,FALSE)</f>
        <v>9096</v>
      </c>
      <c r="I58" s="358">
        <f>VLOOKUP($A58,[0]!Data,215,FALSE)+VLOOKUP($A58,[0]!Data,228,FALSE)</f>
        <v>14511</v>
      </c>
      <c r="J58" s="358">
        <f>VLOOKUP($A58,[0]!Data,222,FALSE)</f>
        <v>11792</v>
      </c>
      <c r="K58" s="358">
        <f>VLOOKUP($A58,[0]!Data,229,FALSE)</f>
        <v>195</v>
      </c>
      <c r="L58" s="358">
        <f>VLOOKUP($A58,[0]!Data,233,FALSE)</f>
        <v>5683</v>
      </c>
      <c r="M58" s="358">
        <f>VLOOKUP($A58,[0]!Data,234,FALSE)</f>
        <v>20080</v>
      </c>
      <c r="N58" s="420">
        <f>VLOOKUP($A58,[0]!Data,239,FALSE)</f>
        <v>163718</v>
      </c>
    </row>
    <row r="59" spans="1:14" ht="14.25" x14ac:dyDescent="0.2">
      <c r="A59" s="40" t="s">
        <v>1768</v>
      </c>
      <c r="B59" s="40" t="s">
        <v>1975</v>
      </c>
      <c r="C59" s="358">
        <f>VLOOKUP($A59,[0]!Data,208,FALSE)</f>
        <v>119456</v>
      </c>
      <c r="D59" s="358">
        <f>VLOOKUP($A59,[0]!Data,209,FALSE)</f>
        <v>9177</v>
      </c>
      <c r="E59" s="358">
        <f>VLOOKUP($A59,[0]!Data,210,FALSE)</f>
        <v>78143</v>
      </c>
      <c r="F59" s="358">
        <f>VLOOKUP($A59,[0]!Data,212,FALSE)</f>
        <v>0</v>
      </c>
      <c r="G59" s="358">
        <f>VLOOKUP($A59,[0]!Data,213,FALSE)</f>
        <v>206776</v>
      </c>
      <c r="H59" s="358">
        <f>VLOOKUP($A59,[0]!Data,214,FALSE)+VLOOKUP($A59,[0]!Data,225,FALSE)</f>
        <v>27577</v>
      </c>
      <c r="I59" s="358">
        <f>VLOOKUP($A59,[0]!Data,215,FALSE)+VLOOKUP($A59,[0]!Data,228,FALSE)</f>
        <v>54712</v>
      </c>
      <c r="J59" s="358">
        <f>VLOOKUP($A59,[0]!Data,222,FALSE)</f>
        <v>30852</v>
      </c>
      <c r="K59" s="358">
        <f>VLOOKUP($A59,[0]!Data,229,FALSE)</f>
        <v>4115</v>
      </c>
      <c r="L59" s="358">
        <f>VLOOKUP($A59,[0]!Data,233,FALSE)</f>
        <v>55520</v>
      </c>
      <c r="M59" s="358">
        <f>VLOOKUP($A59,[0]!Data,234,FALSE)</f>
        <v>100620</v>
      </c>
      <c r="N59" s="420">
        <f>VLOOKUP($A59,[0]!Data,239,FALSE)</f>
        <v>379552</v>
      </c>
    </row>
    <row r="60" spans="1:14" ht="14.25" x14ac:dyDescent="0.2">
      <c r="A60" s="40" t="s">
        <v>1784</v>
      </c>
      <c r="B60" s="40" t="s">
        <v>1976</v>
      </c>
      <c r="C60" s="358">
        <f>VLOOKUP($A60,[0]!Data,208,FALSE)</f>
        <v>248055</v>
      </c>
      <c r="D60" s="358">
        <f>VLOOKUP($A60,[0]!Data,209,FALSE)</f>
        <v>36840</v>
      </c>
      <c r="E60" s="358">
        <f>VLOOKUP($A60,[0]!Data,210,FALSE)</f>
        <v>362697</v>
      </c>
      <c r="F60" s="358">
        <f>VLOOKUP($A60,[0]!Data,212,FALSE)</f>
        <v>4362</v>
      </c>
      <c r="G60" s="358">
        <f>VLOOKUP($A60,[0]!Data,213,FALSE)</f>
        <v>652909</v>
      </c>
      <c r="H60" s="358">
        <f>VLOOKUP($A60,[0]!Data,214,FALSE)+VLOOKUP($A60,[0]!Data,225,FALSE)</f>
        <v>56311</v>
      </c>
      <c r="I60" s="358">
        <f>VLOOKUP($A60,[0]!Data,215,FALSE)+VLOOKUP($A60,[0]!Data,228,FALSE)</f>
        <v>158644</v>
      </c>
      <c r="J60" s="358">
        <f>VLOOKUP($A60,[0]!Data,222,FALSE)</f>
        <v>54663</v>
      </c>
      <c r="K60" s="358">
        <f>VLOOKUP($A60,[0]!Data,229,FALSE)</f>
        <v>1074</v>
      </c>
      <c r="L60" s="358">
        <f>VLOOKUP($A60,[0]!Data,233,FALSE)</f>
        <v>550027</v>
      </c>
      <c r="M60" s="358">
        <f>VLOOKUP($A60,[0]!Data,234,FALSE)</f>
        <v>622246</v>
      </c>
      <c r="N60" s="420">
        <f>VLOOKUP($A60,[0]!Data,239,FALSE)</f>
        <v>1474214</v>
      </c>
    </row>
    <row r="61" spans="1:14" ht="14.25" x14ac:dyDescent="0.2">
      <c r="A61" s="40" t="s">
        <v>1531</v>
      </c>
      <c r="B61" s="40" t="s">
        <v>1977</v>
      </c>
      <c r="C61" s="358">
        <f>VLOOKUP($A61,[0]!Data,208,FALSE)</f>
        <v>30124</v>
      </c>
      <c r="D61" s="358">
        <f>VLOOKUP($A61,[0]!Data,209,FALSE)</f>
        <v>4255</v>
      </c>
      <c r="E61" s="358">
        <f>VLOOKUP($A61,[0]!Data,210,FALSE)</f>
        <v>34204</v>
      </c>
      <c r="F61" s="358">
        <f>VLOOKUP($A61,[0]!Data,212,FALSE)</f>
        <v>672</v>
      </c>
      <c r="G61" s="358">
        <f>VLOOKUP($A61,[0]!Data,213,FALSE)</f>
        <v>69255</v>
      </c>
      <c r="H61" s="358">
        <f>VLOOKUP($A61,[0]!Data,214,FALSE)+VLOOKUP($A61,[0]!Data,225,FALSE)</f>
        <v>4141</v>
      </c>
      <c r="I61" s="358">
        <f>VLOOKUP($A61,[0]!Data,215,FALSE)+VLOOKUP($A61,[0]!Data,228,FALSE)</f>
        <v>3198</v>
      </c>
      <c r="J61" s="358">
        <f>VLOOKUP($A61,[0]!Data,222,FALSE)</f>
        <v>4123</v>
      </c>
      <c r="K61" s="358">
        <f>VLOOKUP($A61,[0]!Data,229,FALSE)</f>
        <v>33</v>
      </c>
      <c r="L61" s="358">
        <f>VLOOKUP($A61,[0]!Data,233,FALSE)</f>
        <v>8834</v>
      </c>
      <c r="M61" s="358">
        <f>VLOOKUP($A61,[0]!Data,234,FALSE)</f>
        <v>13751</v>
      </c>
      <c r="N61" s="420">
        <f>VLOOKUP($A61,[0]!Data,239,FALSE)</f>
        <v>89584</v>
      </c>
    </row>
    <row r="62" spans="1:14" ht="14.25" x14ac:dyDescent="0.2">
      <c r="A62" s="40" t="s">
        <v>1799</v>
      </c>
      <c r="B62" s="40" t="s">
        <v>1978</v>
      </c>
      <c r="C62" s="358">
        <f>VLOOKUP($A62,[0]!Data,208,FALSE)</f>
        <v>3263900</v>
      </c>
      <c r="D62" s="358">
        <f>VLOOKUP($A62,[0]!Data,209,FALSE)</f>
        <v>426512</v>
      </c>
      <c r="E62" s="358">
        <f>VLOOKUP($A62,[0]!Data,210,FALSE)</f>
        <v>6008566</v>
      </c>
      <c r="F62" s="358">
        <f>VLOOKUP($A62,[0]!Data,212,FALSE)</f>
        <v>51674</v>
      </c>
      <c r="G62" s="358">
        <f>VLOOKUP($A62,[0]!Data,213,FALSE)</f>
        <v>9750652</v>
      </c>
      <c r="H62" s="358">
        <f>VLOOKUP($A62,[0]!Data,214,FALSE)+VLOOKUP($A62,[0]!Data,225,FALSE)</f>
        <v>576452</v>
      </c>
      <c r="I62" s="358">
        <f>VLOOKUP($A62,[0]!Data,215,FALSE)+VLOOKUP($A62,[0]!Data,228,FALSE)</f>
        <v>169</v>
      </c>
      <c r="J62" s="358">
        <f>VLOOKUP($A62,[0]!Data,222,FALSE)</f>
        <v>550474</v>
      </c>
      <c r="K62" s="358">
        <f>VLOOKUP($A62,[0]!Data,229,FALSE)</f>
        <v>0</v>
      </c>
      <c r="L62" s="358">
        <f>VLOOKUP($A62,[0]!Data,233,FALSE)</f>
        <v>571883</v>
      </c>
      <c r="M62" s="358">
        <f>VLOOKUP($A62,[0]!Data,234,FALSE)</f>
        <v>1425567</v>
      </c>
      <c r="N62" s="420">
        <f>VLOOKUP($A62,[0]!Data,239,FALSE)</f>
        <v>11449630</v>
      </c>
    </row>
    <row r="63" spans="1:14" ht="14.25" x14ac:dyDescent="0.2">
      <c r="A63" s="40" t="s">
        <v>1814</v>
      </c>
      <c r="B63" s="40" t="s">
        <v>1979</v>
      </c>
      <c r="C63" s="358">
        <f>VLOOKUP($A63,[0]!Data,208,FALSE)</f>
        <v>19117</v>
      </c>
      <c r="D63" s="358">
        <f>VLOOKUP($A63,[0]!Data,209,FALSE)</f>
        <v>1471</v>
      </c>
      <c r="E63" s="358">
        <f>VLOOKUP($A63,[0]!Data,210,FALSE)</f>
        <v>13589</v>
      </c>
      <c r="F63" s="358">
        <f>VLOOKUP($A63,[0]!Data,212,FALSE)</f>
        <v>3767</v>
      </c>
      <c r="G63" s="358">
        <f>VLOOKUP($A63,[0]!Data,213,FALSE)</f>
        <v>37944</v>
      </c>
      <c r="H63" s="358">
        <f>VLOOKUP($A63,[0]!Data,214,FALSE)+VLOOKUP($A63,[0]!Data,225,FALSE)</f>
        <v>2407</v>
      </c>
      <c r="I63" s="358">
        <f>VLOOKUP($A63,[0]!Data,215,FALSE)+VLOOKUP($A63,[0]!Data,228,FALSE)</f>
        <v>7747</v>
      </c>
      <c r="J63" s="358">
        <f>VLOOKUP($A63,[0]!Data,222,FALSE)</f>
        <v>51</v>
      </c>
      <c r="K63" s="358">
        <f>VLOOKUP($A63,[0]!Data,229,FALSE)</f>
        <v>0</v>
      </c>
      <c r="L63" s="358">
        <f>VLOOKUP($A63,[0]!Data,233,FALSE)</f>
        <v>818</v>
      </c>
      <c r="M63" s="358">
        <f>VLOOKUP($A63,[0]!Data,234,FALSE)</f>
        <v>991</v>
      </c>
      <c r="N63" s="420">
        <f>VLOOKUP($A63,[0]!Data,239,FALSE)</f>
        <v>51894</v>
      </c>
    </row>
    <row r="64" spans="1:14" ht="14.25" x14ac:dyDescent="0.2">
      <c r="A64" s="40" t="s">
        <v>1826</v>
      </c>
      <c r="B64" s="40" t="s">
        <v>1980</v>
      </c>
      <c r="C64" s="358">
        <f>VLOOKUP($A64,[0]!Data,208,FALSE)</f>
        <v>97398</v>
      </c>
      <c r="D64" s="358">
        <f>VLOOKUP($A64,[0]!Data,209,FALSE)</f>
        <v>10812</v>
      </c>
      <c r="E64" s="358">
        <f>VLOOKUP($A64,[0]!Data,210,FALSE)</f>
        <v>90033</v>
      </c>
      <c r="F64" s="358">
        <f>VLOOKUP($A64,[0]!Data,212,FALSE)</f>
        <v>2033</v>
      </c>
      <c r="G64" s="358">
        <f>VLOOKUP($A64,[0]!Data,213,FALSE)</f>
        <v>200626</v>
      </c>
      <c r="H64" s="358">
        <f>VLOOKUP($A64,[0]!Data,214,FALSE)+VLOOKUP($A64,[0]!Data,225,FALSE)</f>
        <v>12374</v>
      </c>
      <c r="I64" s="358">
        <f>VLOOKUP($A64,[0]!Data,215,FALSE)+VLOOKUP($A64,[0]!Data,228,FALSE)</f>
        <v>28930</v>
      </c>
      <c r="J64" s="358">
        <f>VLOOKUP($A64,[0]!Data,222,FALSE)</f>
        <v>21936</v>
      </c>
      <c r="K64" s="358">
        <f>VLOOKUP($A64,[0]!Data,229,FALSE)</f>
        <v>406</v>
      </c>
      <c r="L64" s="358">
        <f>VLOOKUP($A64,[0]!Data,233,FALSE)</f>
        <v>71427</v>
      </c>
      <c r="M64" s="358">
        <f>VLOOKUP($A64,[0]!Data,234,FALSE)</f>
        <v>97276</v>
      </c>
      <c r="N64" s="420">
        <f>VLOOKUP($A64,[0]!Data,239,FALSE)</f>
        <v>335701</v>
      </c>
    </row>
    <row r="65" spans="1:14" ht="14.25" x14ac:dyDescent="0.2">
      <c r="A65" s="40" t="s">
        <v>1842</v>
      </c>
      <c r="B65" s="40" t="s">
        <v>1981</v>
      </c>
      <c r="C65" s="527">
        <f>VLOOKUP($A65,[0]!Data,208,FALSE)</f>
        <v>93366</v>
      </c>
      <c r="D65" s="556">
        <f>VLOOKUP($A65,[0]!Data,209,FALSE)</f>
        <v>8853</v>
      </c>
      <c r="E65" s="556">
        <f>VLOOKUP($A65,[0]!Data,210,FALSE)</f>
        <v>92537</v>
      </c>
      <c r="F65" s="556">
        <f>VLOOKUP($A65,[0]!Data,212,FALSE)</f>
        <v>4127</v>
      </c>
      <c r="G65" s="556">
        <f>VLOOKUP($A65,[0]!Data,213,FALSE)</f>
        <v>198883</v>
      </c>
      <c r="H65" s="556">
        <f>VLOOKUP($A65,[0]!Data,214,FALSE)+VLOOKUP($A65,[0]!Data,225,FALSE)</f>
        <v>8433</v>
      </c>
      <c r="I65" s="556">
        <f>VLOOKUP($A65,[0]!Data,215,FALSE)+VLOOKUP($A65,[0]!Data,228,FALSE)</f>
        <v>32181</v>
      </c>
      <c r="J65" s="556">
        <f>VLOOKUP($A65,[0]!Data,222,FALSE)</f>
        <v>6504</v>
      </c>
      <c r="K65" s="556">
        <f>VLOOKUP($A65,[0]!Data,229,FALSE)</f>
        <v>0</v>
      </c>
      <c r="L65" s="556">
        <f>VLOOKUP($A65,[0]!Data,233,FALSE)</f>
        <v>62554</v>
      </c>
      <c r="M65" s="369">
        <f>VLOOKUP($A65,[0]!Data,234,FALSE)</f>
        <v>69141</v>
      </c>
      <c r="N65" s="426">
        <f>VLOOKUP($A65,[0]!Data,239,FALSE)</f>
        <v>308555</v>
      </c>
    </row>
    <row r="66" spans="1:14" thickBot="1" x14ac:dyDescent="0.25">
      <c r="A66" s="658" t="s">
        <v>1882</v>
      </c>
      <c r="B66" s="660"/>
      <c r="C66" s="616">
        <f t="shared" ref="C66:N66" si="0">AVERAGE(C8:C65)</f>
        <v>223634.96551724139</v>
      </c>
      <c r="D66" s="616">
        <f t="shared" si="0"/>
        <v>24921.310344827587</v>
      </c>
      <c r="E66" s="616">
        <f t="shared" si="0"/>
        <v>285685.06896551722</v>
      </c>
      <c r="F66" s="616">
        <f t="shared" si="0"/>
        <v>3025.6034482758619</v>
      </c>
      <c r="G66" s="616">
        <f t="shared" si="0"/>
        <v>539157.12068965519</v>
      </c>
      <c r="H66" s="616">
        <f t="shared" si="0"/>
        <v>52019.724137931036</v>
      </c>
      <c r="I66" s="616">
        <f t="shared" si="0"/>
        <v>77273.655172413797</v>
      </c>
      <c r="J66" s="616">
        <f t="shared" si="0"/>
        <v>51697.827586206899</v>
      </c>
      <c r="K66" s="616">
        <f t="shared" si="0"/>
        <v>2384.8275862068967</v>
      </c>
      <c r="L66" s="616">
        <f t="shared" si="0"/>
        <v>134987</v>
      </c>
      <c r="M66" s="616">
        <f t="shared" si="0"/>
        <v>212225.8275862069</v>
      </c>
      <c r="N66" s="617">
        <f t="shared" si="0"/>
        <v>861341.74137931038</v>
      </c>
    </row>
    <row r="67" spans="1:14" ht="15.75" thickTop="1" thickBot="1" x14ac:dyDescent="0.25">
      <c r="A67" s="651" t="s">
        <v>1866</v>
      </c>
      <c r="B67" s="651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4"/>
      <c r="N67" s="419"/>
    </row>
    <row r="68" spans="1:14" thickTop="1" x14ac:dyDescent="0.2">
      <c r="A68" s="40" t="s">
        <v>692</v>
      </c>
      <c r="B68" s="40" t="s">
        <v>1982</v>
      </c>
      <c r="C68" s="358">
        <f>VLOOKUP($A68,[0]!Data,208,FALSE)</f>
        <v>36411</v>
      </c>
      <c r="D68" s="358">
        <f>VLOOKUP($A68,[0]!Data,209,FALSE)</f>
        <v>3089</v>
      </c>
      <c r="E68" s="358">
        <f>VLOOKUP($A68,[0]!Data,210,FALSE)</f>
        <v>24614</v>
      </c>
      <c r="F68" s="358">
        <f>VLOOKUP($A68,[0]!Data,212,FALSE)</f>
        <v>380</v>
      </c>
      <c r="G68" s="358">
        <f>VLOOKUP($A68,[0]!Data,213,FALSE)</f>
        <v>64494</v>
      </c>
      <c r="H68" s="358">
        <f>VLOOKUP($A68,[0]!Data,214,FALSE)+VLOOKUP($A68,[0]!Data,225,FALSE)</f>
        <v>3330</v>
      </c>
      <c r="I68" s="358">
        <f>VLOOKUP($A68,[0]!Data,215,FALSE)+VLOOKUP($A68,[0]!Data,228,FALSE)</f>
        <v>12311</v>
      </c>
      <c r="J68" s="358">
        <f>VLOOKUP($A68,[0]!Data,222,FALSE)</f>
        <v>70</v>
      </c>
      <c r="K68" s="358">
        <f>VLOOKUP($A68,[0]!Data,229,FALSE)</f>
        <v>0</v>
      </c>
      <c r="L68" s="358">
        <f>VLOOKUP($A68,[0]!Data,233,FALSE)</f>
        <v>1439</v>
      </c>
      <c r="M68" s="358">
        <f>VLOOKUP($A68,[0]!Data,234,FALSE)</f>
        <v>1531</v>
      </c>
      <c r="N68" s="425">
        <f>VLOOKUP($A68,[0]!Data,239,FALSE)</f>
        <v>81657</v>
      </c>
    </row>
    <row r="69" spans="1:14" ht="14.25" x14ac:dyDescent="0.2">
      <c r="A69" s="40" t="s">
        <v>739</v>
      </c>
      <c r="B69" s="40" t="s">
        <v>1983</v>
      </c>
      <c r="C69" s="358">
        <f>VLOOKUP($A69,[0]!Data,208,FALSE)</f>
        <v>97456</v>
      </c>
      <c r="D69" s="358">
        <f>VLOOKUP($A69,[0]!Data,209,FALSE)</f>
        <v>8826</v>
      </c>
      <c r="E69" s="358">
        <f>VLOOKUP($A69,[0]!Data,210,FALSE)</f>
        <v>141025</v>
      </c>
      <c r="F69" s="358">
        <f>VLOOKUP($A69,[0]!Data,212,FALSE)</f>
        <v>4793</v>
      </c>
      <c r="G69" s="358">
        <f>VLOOKUP($A69,[0]!Data,213,FALSE)</f>
        <v>253282</v>
      </c>
      <c r="H69" s="358">
        <f>VLOOKUP($A69,[0]!Data,214,FALSE)+VLOOKUP($A69,[0]!Data,225,FALSE)</f>
        <v>6017</v>
      </c>
      <c r="I69" s="358">
        <f>VLOOKUP($A69,[0]!Data,215,FALSE)+VLOOKUP($A69,[0]!Data,228,FALSE)</f>
        <v>9252</v>
      </c>
      <c r="J69" s="358">
        <f>VLOOKUP($A69,[0]!Data,222,FALSE)</f>
        <v>2581</v>
      </c>
      <c r="K69" s="358">
        <f>VLOOKUP($A69,[0]!Data,229,FALSE)</f>
        <v>0</v>
      </c>
      <c r="L69" s="358">
        <f>VLOOKUP($A69,[0]!Data,233,FALSE)</f>
        <v>1911</v>
      </c>
      <c r="M69" s="358">
        <f>VLOOKUP($A69,[0]!Data,234,FALSE)</f>
        <v>6130</v>
      </c>
      <c r="N69" s="420">
        <f>VLOOKUP($A69,[0]!Data,239,FALSE)</f>
        <v>273650</v>
      </c>
    </row>
    <row r="70" spans="1:14" ht="14.25" x14ac:dyDescent="0.2">
      <c r="A70" s="40" t="s">
        <v>723</v>
      </c>
      <c r="B70" s="40" t="s">
        <v>1984</v>
      </c>
      <c r="C70" s="358">
        <f>VLOOKUP($A70,[0]!Data,208,FALSE)</f>
        <v>233372</v>
      </c>
      <c r="D70" s="358">
        <f>VLOOKUP($A70,[0]!Data,209,FALSE)</f>
        <v>23846</v>
      </c>
      <c r="E70" s="358">
        <f>VLOOKUP($A70,[0]!Data,210,FALSE)</f>
        <v>205384</v>
      </c>
      <c r="F70" s="358">
        <f>VLOOKUP($A70,[0]!Data,212,FALSE)</f>
        <v>3634</v>
      </c>
      <c r="G70" s="358">
        <f>VLOOKUP($A70,[0]!Data,213,FALSE)</f>
        <v>471634</v>
      </c>
      <c r="H70" s="358">
        <f>VLOOKUP($A70,[0]!Data,214,FALSE)+VLOOKUP($A70,[0]!Data,225,FALSE)</f>
        <v>37355</v>
      </c>
      <c r="I70" s="358">
        <f>VLOOKUP($A70,[0]!Data,215,FALSE)+VLOOKUP($A70,[0]!Data,228,FALSE)</f>
        <v>105025</v>
      </c>
      <c r="J70" s="358">
        <f>VLOOKUP($A70,[0]!Data,222,FALSE)</f>
        <v>9390</v>
      </c>
      <c r="K70" s="358">
        <f>VLOOKUP($A70,[0]!Data,229,FALSE)</f>
        <v>0</v>
      </c>
      <c r="L70" s="358">
        <f>VLOOKUP($A70,[0]!Data,233,FALSE)</f>
        <v>117666</v>
      </c>
      <c r="M70" s="358">
        <f>VLOOKUP($A70,[0]!Data,234,FALSE)</f>
        <v>129250</v>
      </c>
      <c r="N70" s="420">
        <f>VLOOKUP($A70,[0]!Data,239,FALSE)</f>
        <v>742007</v>
      </c>
    </row>
    <row r="71" spans="1:14" ht="14.25" x14ac:dyDescent="0.2">
      <c r="A71" s="40" t="s">
        <v>760</v>
      </c>
      <c r="B71" s="40" t="s">
        <v>1985</v>
      </c>
      <c r="C71" s="358">
        <f>VLOOKUP($A71,[0]!Data,208,FALSE)</f>
        <v>45087</v>
      </c>
      <c r="D71" s="358">
        <f>VLOOKUP($A71,[0]!Data,209,FALSE)</f>
        <v>1746</v>
      </c>
      <c r="E71" s="358">
        <f>VLOOKUP($A71,[0]!Data,210,FALSE)</f>
        <v>31013</v>
      </c>
      <c r="F71" s="358">
        <f>VLOOKUP($A71,[0]!Data,212,FALSE)</f>
        <v>471</v>
      </c>
      <c r="G71" s="358">
        <f>VLOOKUP($A71,[0]!Data,213,FALSE)</f>
        <v>78472</v>
      </c>
      <c r="H71" s="358">
        <f>VLOOKUP($A71,[0]!Data,214,FALSE)+VLOOKUP($A71,[0]!Data,225,FALSE)</f>
        <v>1874</v>
      </c>
      <c r="I71" s="358">
        <f>VLOOKUP($A71,[0]!Data,215,FALSE)+VLOOKUP($A71,[0]!Data,228,FALSE)</f>
        <v>14256</v>
      </c>
      <c r="J71" s="358">
        <f>VLOOKUP($A71,[0]!Data,222,FALSE)</f>
        <v>1171</v>
      </c>
      <c r="K71" s="358">
        <f>VLOOKUP($A71,[0]!Data,229,FALSE)</f>
        <v>91</v>
      </c>
      <c r="L71" s="358">
        <f>VLOOKUP($A71,[0]!Data,233,FALSE)</f>
        <v>5021</v>
      </c>
      <c r="M71" s="358">
        <f>VLOOKUP($A71,[0]!Data,234,FALSE)</f>
        <v>7000</v>
      </c>
      <c r="N71" s="420">
        <f>VLOOKUP($A71,[0]!Data,239,FALSE)</f>
        <v>100963</v>
      </c>
    </row>
    <row r="72" spans="1:14" ht="14.25" x14ac:dyDescent="0.2">
      <c r="A72" s="40" t="s">
        <v>975</v>
      </c>
      <c r="B72" s="40" t="s">
        <v>1986</v>
      </c>
      <c r="C72" s="358">
        <f>VLOOKUP($A72,[0]!Data,208,FALSE)</f>
        <v>238141</v>
      </c>
      <c r="D72" s="358">
        <f>VLOOKUP($A72,[0]!Data,209,FALSE)</f>
        <v>18479</v>
      </c>
      <c r="E72" s="358">
        <f>VLOOKUP($A72,[0]!Data,210,FALSE)</f>
        <v>143807</v>
      </c>
      <c r="F72" s="358">
        <f>VLOOKUP($A72,[0]!Data,212,FALSE)</f>
        <v>5539</v>
      </c>
      <c r="G72" s="358">
        <f>VLOOKUP($A72,[0]!Data,213,FALSE)</f>
        <v>405966</v>
      </c>
      <c r="H72" s="358">
        <f>VLOOKUP($A72,[0]!Data,214,FALSE)+VLOOKUP($A72,[0]!Data,225,FALSE)</f>
        <v>37708</v>
      </c>
      <c r="I72" s="358">
        <f>VLOOKUP($A72,[0]!Data,215,FALSE)+VLOOKUP($A72,[0]!Data,228,FALSE)</f>
        <v>19540</v>
      </c>
      <c r="J72" s="358">
        <f>VLOOKUP($A72,[0]!Data,222,FALSE)</f>
        <v>3520</v>
      </c>
      <c r="K72" s="358">
        <f>VLOOKUP($A72,[0]!Data,229,FALSE)</f>
        <v>0</v>
      </c>
      <c r="L72" s="358">
        <f>VLOOKUP($A72,[0]!Data,233,FALSE)</f>
        <v>91453</v>
      </c>
      <c r="M72" s="358">
        <f>VLOOKUP($A72,[0]!Data,234,FALSE)</f>
        <v>107242</v>
      </c>
      <c r="N72" s="420">
        <f>VLOOKUP($A72,[0]!Data,239,FALSE)</f>
        <v>561067</v>
      </c>
    </row>
    <row r="73" spans="1:14" ht="14.25" x14ac:dyDescent="0.2">
      <c r="A73" s="40" t="s">
        <v>1071</v>
      </c>
      <c r="B73" s="40" t="s">
        <v>1987</v>
      </c>
      <c r="C73" s="358">
        <f>VLOOKUP($A73,[0]!Data,208,FALSE)</f>
        <v>166828</v>
      </c>
      <c r="D73" s="358">
        <f>VLOOKUP($A73,[0]!Data,209,FALSE)</f>
        <v>10253</v>
      </c>
      <c r="E73" s="358">
        <f>VLOOKUP($A73,[0]!Data,210,FALSE)</f>
        <v>140544</v>
      </c>
      <c r="F73" s="358">
        <f>VLOOKUP($A73,[0]!Data,212,FALSE)</f>
        <v>2641</v>
      </c>
      <c r="G73" s="358">
        <f>VLOOKUP($A73,[0]!Data,213,FALSE)</f>
        <v>320266</v>
      </c>
      <c r="H73" s="358">
        <f>VLOOKUP($A73,[0]!Data,214,FALSE)+VLOOKUP($A73,[0]!Data,225,FALSE)</f>
        <v>20632</v>
      </c>
      <c r="I73" s="358">
        <f>VLOOKUP($A73,[0]!Data,215,FALSE)+VLOOKUP($A73,[0]!Data,228,FALSE)</f>
        <v>75006</v>
      </c>
      <c r="J73" s="358">
        <f>VLOOKUP($A73,[0]!Data,222,FALSE)</f>
        <v>18183</v>
      </c>
      <c r="K73" s="358">
        <f>VLOOKUP($A73,[0]!Data,229,FALSE)</f>
        <v>1985</v>
      </c>
      <c r="L73" s="358">
        <f>VLOOKUP($A73,[0]!Data,233,FALSE)</f>
        <v>147472</v>
      </c>
      <c r="M73" s="358">
        <f>VLOOKUP($A73,[0]!Data,234,FALSE)</f>
        <v>168543</v>
      </c>
      <c r="N73" s="420">
        <f>VLOOKUP($A73,[0]!Data,239,FALSE)</f>
        <v>583761</v>
      </c>
    </row>
    <row r="74" spans="1:14" ht="14.25" x14ac:dyDescent="0.2">
      <c r="A74" s="40" t="s">
        <v>1111</v>
      </c>
      <c r="B74" s="40" t="s">
        <v>1988</v>
      </c>
      <c r="C74" s="358">
        <f>VLOOKUP($A74,[0]!Data,208,FALSE)</f>
        <v>166656</v>
      </c>
      <c r="D74" s="358">
        <f>VLOOKUP($A74,[0]!Data,209,FALSE)</f>
        <v>8850</v>
      </c>
      <c r="E74" s="358">
        <f>VLOOKUP($A74,[0]!Data,210,FALSE)</f>
        <v>104791</v>
      </c>
      <c r="F74" s="358">
        <f>VLOOKUP($A74,[0]!Data,212,FALSE)</f>
        <v>4992</v>
      </c>
      <c r="G74" s="358">
        <f>VLOOKUP($A74,[0]!Data,213,FALSE)</f>
        <v>287610</v>
      </c>
      <c r="H74" s="358">
        <f>VLOOKUP($A74,[0]!Data,214,FALSE)+VLOOKUP($A74,[0]!Data,225,FALSE)</f>
        <v>29851</v>
      </c>
      <c r="I74" s="358">
        <f>VLOOKUP($A74,[0]!Data,215,FALSE)+VLOOKUP($A74,[0]!Data,228,FALSE)</f>
        <v>30363</v>
      </c>
      <c r="J74" s="358">
        <f>VLOOKUP($A74,[0]!Data,222,FALSE)</f>
        <v>42571</v>
      </c>
      <c r="K74" s="358">
        <f>VLOOKUP($A74,[0]!Data,229,FALSE)</f>
        <v>859</v>
      </c>
      <c r="L74" s="358">
        <f>VLOOKUP($A74,[0]!Data,233,FALSE)</f>
        <v>7682</v>
      </c>
      <c r="M74" s="358">
        <f>VLOOKUP($A74,[0]!Data,234,FALSE)</f>
        <v>59520</v>
      </c>
      <c r="N74" s="420">
        <f>VLOOKUP($A74,[0]!Data,239,FALSE)</f>
        <v>400443</v>
      </c>
    </row>
    <row r="75" spans="1:14" ht="14.25" x14ac:dyDescent="0.2">
      <c r="A75" s="40" t="s">
        <v>1425</v>
      </c>
      <c r="B75" s="40" t="s">
        <v>1989</v>
      </c>
      <c r="C75" s="358">
        <f>VLOOKUP($A75,[0]!Data,208,FALSE)</f>
        <v>113607</v>
      </c>
      <c r="D75" s="358">
        <f>VLOOKUP($A75,[0]!Data,209,FALSE)</f>
        <v>5472</v>
      </c>
      <c r="E75" s="358">
        <f>VLOOKUP($A75,[0]!Data,210,FALSE)</f>
        <v>58243</v>
      </c>
      <c r="F75" s="358">
        <f>VLOOKUP($A75,[0]!Data,212,FALSE)</f>
        <v>3619</v>
      </c>
      <c r="G75" s="358">
        <f>VLOOKUP($A75,[0]!Data,213,FALSE)</f>
        <v>180941</v>
      </c>
      <c r="H75" s="358">
        <f>VLOOKUP($A75,[0]!Data,214,FALSE)+VLOOKUP($A75,[0]!Data,225,FALSE)</f>
        <v>10806</v>
      </c>
      <c r="I75" s="358">
        <f>VLOOKUP($A75,[0]!Data,215,FALSE)+VLOOKUP($A75,[0]!Data,228,FALSE)</f>
        <v>49739</v>
      </c>
      <c r="J75" s="358">
        <f>VLOOKUP($A75,[0]!Data,222,FALSE)</f>
        <v>128</v>
      </c>
      <c r="K75" s="358">
        <f>VLOOKUP($A75,[0]!Data,229,FALSE)</f>
        <v>0</v>
      </c>
      <c r="L75" s="358">
        <f>VLOOKUP($A75,[0]!Data,233,FALSE)</f>
        <v>65281</v>
      </c>
      <c r="M75" s="358">
        <f>VLOOKUP($A75,[0]!Data,234,FALSE)</f>
        <v>67081</v>
      </c>
      <c r="N75" s="420">
        <f>VLOOKUP($A75,[0]!Data,239,FALSE)</f>
        <v>306921</v>
      </c>
    </row>
    <row r="76" spans="1:14" ht="14.25" x14ac:dyDescent="0.2">
      <c r="A76" s="40" t="s">
        <v>1442</v>
      </c>
      <c r="B76" s="40" t="s">
        <v>1990</v>
      </c>
      <c r="C76" s="358">
        <f>VLOOKUP($A76,[0]!Data,208,FALSE)</f>
        <v>88667</v>
      </c>
      <c r="D76" s="358">
        <f>VLOOKUP($A76,[0]!Data,209,FALSE)</f>
        <v>8382</v>
      </c>
      <c r="E76" s="358">
        <f>VLOOKUP($A76,[0]!Data,210,FALSE)</f>
        <v>42330</v>
      </c>
      <c r="F76" s="358">
        <f>VLOOKUP($A76,[0]!Data,212,FALSE)</f>
        <v>2616</v>
      </c>
      <c r="G76" s="358">
        <f>VLOOKUP($A76,[0]!Data,213,FALSE)</f>
        <v>146106</v>
      </c>
      <c r="H76" s="358">
        <f>VLOOKUP($A76,[0]!Data,214,FALSE)+VLOOKUP($A76,[0]!Data,225,FALSE)</f>
        <v>6874</v>
      </c>
      <c r="I76" s="358">
        <f>VLOOKUP($A76,[0]!Data,215,FALSE)+VLOOKUP($A76,[0]!Data,228,FALSE)</f>
        <v>35829</v>
      </c>
      <c r="J76" s="358">
        <f>VLOOKUP($A76,[0]!Data,222,FALSE)</f>
        <v>3249</v>
      </c>
      <c r="K76" s="358">
        <f>VLOOKUP($A76,[0]!Data,229,FALSE)</f>
        <v>718</v>
      </c>
      <c r="L76" s="358">
        <f>VLOOKUP($A76,[0]!Data,233,FALSE)</f>
        <v>4835</v>
      </c>
      <c r="M76" s="358">
        <f>VLOOKUP($A76,[0]!Data,234,FALSE)</f>
        <v>10084</v>
      </c>
      <c r="N76" s="420">
        <f>VLOOKUP($A76,[0]!Data,239,FALSE)</f>
        <v>198579</v>
      </c>
    </row>
    <row r="77" spans="1:14" ht="14.25" x14ac:dyDescent="0.2">
      <c r="A77" s="40" t="s">
        <v>1472</v>
      </c>
      <c r="B77" s="40" t="s">
        <v>1991</v>
      </c>
      <c r="C77" s="358">
        <f>VLOOKUP($A77,[0]!Data,208,FALSE)</f>
        <v>166991</v>
      </c>
      <c r="D77" s="358">
        <f>VLOOKUP($A77,[0]!Data,209,FALSE)</f>
        <v>14891</v>
      </c>
      <c r="E77" s="358">
        <f>VLOOKUP($A77,[0]!Data,210,FALSE)</f>
        <v>151280</v>
      </c>
      <c r="F77" s="358">
        <f>VLOOKUP($A77,[0]!Data,212,FALSE)</f>
        <v>15</v>
      </c>
      <c r="G77" s="358">
        <f>VLOOKUP($A77,[0]!Data,213,FALSE)</f>
        <v>333649</v>
      </c>
      <c r="H77" s="358">
        <f>VLOOKUP($A77,[0]!Data,214,FALSE)+VLOOKUP($A77,[0]!Data,225,FALSE)</f>
        <v>11206</v>
      </c>
      <c r="I77" s="358">
        <f>VLOOKUP($A77,[0]!Data,215,FALSE)+VLOOKUP($A77,[0]!Data,228,FALSE)</f>
        <v>38795</v>
      </c>
      <c r="J77" s="358">
        <f>VLOOKUP($A77,[0]!Data,222,FALSE)</f>
        <v>7520</v>
      </c>
      <c r="K77" s="358">
        <f>VLOOKUP($A77,[0]!Data,229,FALSE)</f>
        <v>0</v>
      </c>
      <c r="L77" s="358">
        <f>VLOOKUP($A77,[0]!Data,233,FALSE)</f>
        <v>11768</v>
      </c>
      <c r="M77" s="358">
        <f>VLOOKUP($A77,[0]!Data,234,FALSE)</f>
        <v>20778</v>
      </c>
      <c r="N77" s="420">
        <f>VLOOKUP($A77,[0]!Data,239,FALSE)</f>
        <v>402958</v>
      </c>
    </row>
    <row r="78" spans="1:14" ht="14.25" x14ac:dyDescent="0.2">
      <c r="A78" s="40" t="s">
        <v>1558</v>
      </c>
      <c r="B78" s="40" t="s">
        <v>1992</v>
      </c>
      <c r="C78" s="358">
        <f>VLOOKUP($A78,[0]!Data,208,FALSE)</f>
        <v>47435</v>
      </c>
      <c r="D78" s="358">
        <f>VLOOKUP($A78,[0]!Data,209,FALSE)</f>
        <v>3481</v>
      </c>
      <c r="E78" s="358">
        <f>VLOOKUP($A78,[0]!Data,210,FALSE)</f>
        <v>36194</v>
      </c>
      <c r="F78" s="358">
        <f>VLOOKUP($A78,[0]!Data,212,FALSE)</f>
        <v>1514</v>
      </c>
      <c r="G78" s="358">
        <f>VLOOKUP($A78,[0]!Data,213,FALSE)</f>
        <v>89245</v>
      </c>
      <c r="H78" s="358">
        <f>VLOOKUP($A78,[0]!Data,214,FALSE)+VLOOKUP($A78,[0]!Data,225,FALSE)</f>
        <v>8806</v>
      </c>
      <c r="I78" s="358">
        <f>VLOOKUP($A78,[0]!Data,215,FALSE)+VLOOKUP($A78,[0]!Data,228,FALSE)</f>
        <v>25463</v>
      </c>
      <c r="J78" s="358">
        <f>VLOOKUP($A78,[0]!Data,222,FALSE)</f>
        <v>11526</v>
      </c>
      <c r="K78" s="358">
        <f>VLOOKUP($A78,[0]!Data,229,FALSE)</f>
        <v>0</v>
      </c>
      <c r="L78" s="358">
        <f>VLOOKUP($A78,[0]!Data,233,FALSE)</f>
        <v>2833</v>
      </c>
      <c r="M78" s="358">
        <f>VLOOKUP($A78,[0]!Data,234,FALSE)</f>
        <v>16175</v>
      </c>
      <c r="N78" s="420">
        <f>VLOOKUP($A78,[0]!Data,239,FALSE)</f>
        <v>139201</v>
      </c>
    </row>
    <row r="79" spans="1:14" ht="14.25" x14ac:dyDescent="0.2">
      <c r="A79" s="40" t="s">
        <v>1696</v>
      </c>
      <c r="B79" s="40" t="s">
        <v>1993</v>
      </c>
      <c r="C79" s="358">
        <f>VLOOKUP($A79,[0]!Data,208,FALSE)</f>
        <v>128035</v>
      </c>
      <c r="D79" s="358">
        <f>VLOOKUP($A79,[0]!Data,209,FALSE)</f>
        <v>17867</v>
      </c>
      <c r="E79" s="358">
        <f>VLOOKUP($A79,[0]!Data,210,FALSE)</f>
        <v>131234</v>
      </c>
      <c r="F79" s="358">
        <f>VLOOKUP($A79,[0]!Data,212,FALSE)</f>
        <v>1676</v>
      </c>
      <c r="G79" s="358">
        <f>VLOOKUP($A79,[0]!Data,213,FALSE)</f>
        <v>293015</v>
      </c>
      <c r="H79" s="358">
        <f>VLOOKUP($A79,[0]!Data,214,FALSE)+VLOOKUP($A79,[0]!Data,225,FALSE)</f>
        <v>11748</v>
      </c>
      <c r="I79" s="358">
        <f>VLOOKUP($A79,[0]!Data,215,FALSE)+VLOOKUP($A79,[0]!Data,228,FALSE)</f>
        <v>34429</v>
      </c>
      <c r="J79" s="358">
        <f>VLOOKUP($A79,[0]!Data,222,FALSE)</f>
        <v>10602</v>
      </c>
      <c r="K79" s="358">
        <f>VLOOKUP($A79,[0]!Data,229,FALSE)</f>
        <v>1581</v>
      </c>
      <c r="L79" s="358">
        <f>VLOOKUP($A79,[0]!Data,233,FALSE)</f>
        <v>4949</v>
      </c>
      <c r="M79" s="358">
        <f>VLOOKUP($A79,[0]!Data,234,FALSE)</f>
        <v>18770</v>
      </c>
      <c r="N79" s="420">
        <f>VLOOKUP($A79,[0]!Data,239,FALSE)</f>
        <v>357715</v>
      </c>
    </row>
    <row r="80" spans="1:14" thickBot="1" x14ac:dyDescent="0.25">
      <c r="A80" s="658" t="s">
        <v>1882</v>
      </c>
      <c r="B80" s="660"/>
      <c r="C80" s="361">
        <f t="shared" ref="C80:M80" si="1">AVERAGE(C68:C79)</f>
        <v>127390.5</v>
      </c>
      <c r="D80" s="361">
        <f t="shared" si="1"/>
        <v>10431.833333333334</v>
      </c>
      <c r="E80" s="361">
        <f t="shared" si="1"/>
        <v>100871.58333333333</v>
      </c>
      <c r="F80" s="361">
        <f t="shared" si="1"/>
        <v>2657.5</v>
      </c>
      <c r="G80" s="361">
        <f t="shared" si="1"/>
        <v>243723.33333333334</v>
      </c>
      <c r="H80" s="361">
        <f t="shared" si="1"/>
        <v>15517.25</v>
      </c>
      <c r="I80" s="361">
        <f t="shared" si="1"/>
        <v>37500.666666666664</v>
      </c>
      <c r="J80" s="361">
        <f t="shared" si="1"/>
        <v>9209.25</v>
      </c>
      <c r="K80" s="361">
        <f t="shared" si="1"/>
        <v>436.16666666666669</v>
      </c>
      <c r="L80" s="361">
        <f t="shared" si="1"/>
        <v>38525.833333333336</v>
      </c>
      <c r="M80" s="48">
        <f t="shared" si="1"/>
        <v>51008.666666666664</v>
      </c>
      <c r="N80" s="427">
        <f>SUM(N68:N79)</f>
        <v>4148922</v>
      </c>
    </row>
    <row r="81" spans="1:14" ht="15.75" thickTop="1" thickBot="1" x14ac:dyDescent="0.25">
      <c r="A81" s="58"/>
      <c r="B81" s="49" t="s">
        <v>1867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4"/>
      <c r="N81" s="419"/>
    </row>
    <row r="82" spans="1:14" thickTop="1" x14ac:dyDescent="0.2">
      <c r="A82" s="55" t="s">
        <v>897</v>
      </c>
      <c r="B82" s="40" t="s">
        <v>1994</v>
      </c>
      <c r="C82" s="358">
        <f>VLOOKUP($A82,[0]!Data,208,FALSE)</f>
        <v>333746</v>
      </c>
      <c r="D82" s="358">
        <f>VLOOKUP($A82,[0]!Data,209,FALSE)</f>
        <v>40248</v>
      </c>
      <c r="E82" s="358">
        <f>VLOOKUP($A82,[0]!Data,210,FALSE)</f>
        <v>660788</v>
      </c>
      <c r="F82" s="358">
        <f>VLOOKUP($A82,[0]!Data,212,FALSE)</f>
        <v>4957</v>
      </c>
      <c r="G82" s="358">
        <f>VLOOKUP($A82,[0]!Data,213,FALSE)</f>
        <v>1039739</v>
      </c>
      <c r="H82" s="358">
        <f>VLOOKUP($A82,[0]!Data,214,FALSE)+VLOOKUP($A82,[0]!Data,225,FALSE)</f>
        <v>129047</v>
      </c>
      <c r="I82" s="358">
        <f>VLOOKUP($A82,[0]!Data,215,FALSE)+VLOOKUP($A82,[0]!Data,228,FALSE)</f>
        <v>200608</v>
      </c>
      <c r="J82" s="358">
        <f>VLOOKUP($A82,[0]!Data,222,FALSE)</f>
        <v>59429</v>
      </c>
      <c r="K82" s="358">
        <f>VLOOKUP($A82,[0]!Data,229,FALSE)</f>
        <v>2407</v>
      </c>
      <c r="L82" s="358">
        <f>VLOOKUP($A82,[0]!Data,233,FALSE)</f>
        <v>111390</v>
      </c>
      <c r="M82" s="358">
        <f>VLOOKUP($A82,[0]!Data,234,FALSE)</f>
        <v>213504</v>
      </c>
      <c r="N82" s="425">
        <f>VLOOKUP($A82,[0]!Data,239,FALSE)</f>
        <v>1542620</v>
      </c>
    </row>
    <row r="83" spans="1:14" ht="14.25" x14ac:dyDescent="0.2">
      <c r="A83" s="55" t="s">
        <v>1312</v>
      </c>
      <c r="B83" s="40" t="s">
        <v>1868</v>
      </c>
      <c r="C83" s="358">
        <f>VLOOKUP($A83,[0]!Data,208,FALSE)</f>
        <v>58254</v>
      </c>
      <c r="D83" s="358">
        <f>VLOOKUP($A83,[0]!Data,209,FALSE)</f>
        <v>5585</v>
      </c>
      <c r="E83" s="358">
        <f>VLOOKUP($A83,[0]!Data,210,FALSE)</f>
        <v>65639</v>
      </c>
      <c r="F83" s="358">
        <f>VLOOKUP($A83,[0]!Data,212,FALSE)</f>
        <v>38</v>
      </c>
      <c r="G83" s="358">
        <f>VLOOKUP($A83,[0]!Data,213,FALSE)</f>
        <v>134903</v>
      </c>
      <c r="H83" s="358">
        <f>VLOOKUP($A83,[0]!Data,214,FALSE)+VLOOKUP($A83,[0]!Data,225,FALSE)</f>
        <v>8621</v>
      </c>
      <c r="I83" s="358">
        <f>VLOOKUP($A83,[0]!Data,215,FALSE)+VLOOKUP($A83,[0]!Data,228,FALSE)</f>
        <v>5</v>
      </c>
      <c r="J83" s="358">
        <f>VLOOKUP($A83,[0]!Data,222,FALSE)</f>
        <v>2286</v>
      </c>
      <c r="K83" s="358">
        <f>VLOOKUP($A83,[0]!Data,229,FALSE)</f>
        <v>0</v>
      </c>
      <c r="L83" s="358">
        <f>VLOOKUP($A83,[0]!Data,233,FALSE)</f>
        <v>0</v>
      </c>
      <c r="M83" s="358">
        <f>VLOOKUP($A83,[0]!Data,234,FALSE)</f>
        <v>4248</v>
      </c>
      <c r="N83" s="420">
        <f>VLOOKUP($A83,[0]!Data,239,FALSE)</f>
        <v>146382</v>
      </c>
    </row>
    <row r="84" spans="1:14" ht="14.25" x14ac:dyDescent="0.2">
      <c r="A84" s="55" t="s">
        <v>1100</v>
      </c>
      <c r="B84" s="40" t="s">
        <v>1995</v>
      </c>
      <c r="C84" s="358">
        <f>VLOOKUP($A84,[0]!Data,208,FALSE)</f>
        <v>9631</v>
      </c>
      <c r="D84" s="358">
        <f>VLOOKUP($A84,[0]!Data,209,FALSE)</f>
        <v>860</v>
      </c>
      <c r="E84" s="358">
        <f>VLOOKUP($A84,[0]!Data,210,FALSE)</f>
        <v>5221</v>
      </c>
      <c r="F84" s="358">
        <f>VLOOKUP($A84,[0]!Data,212,FALSE)</f>
        <v>865</v>
      </c>
      <c r="G84" s="358">
        <f>VLOOKUP($A84,[0]!Data,213,FALSE)</f>
        <v>21783</v>
      </c>
      <c r="H84" s="358">
        <f>VLOOKUP($A84,[0]!Data,214,FALSE)+VLOOKUP($A84,[0]!Data,225,FALSE)</f>
        <v>716</v>
      </c>
      <c r="I84" s="358">
        <f>VLOOKUP($A84,[0]!Data,215,FALSE)+VLOOKUP($A84,[0]!Data,228,FALSE)</f>
        <v>1024</v>
      </c>
      <c r="J84" s="358">
        <f>VLOOKUP($A84,[0]!Data,222,FALSE)</f>
        <v>1433</v>
      </c>
      <c r="K84" s="358">
        <f>VLOOKUP($A84,[0]!Data,229,FALSE)</f>
        <v>110</v>
      </c>
      <c r="L84" s="358">
        <f>VLOOKUP($A84,[0]!Data,233,FALSE)</f>
        <v>9308</v>
      </c>
      <c r="M84" s="358">
        <f>VLOOKUP($A84,[0]!Data,234,FALSE)</f>
        <v>11164</v>
      </c>
      <c r="N84" s="420">
        <f>VLOOKUP($A84,[0]!Data,239,FALSE)</f>
        <v>34638</v>
      </c>
    </row>
    <row r="85" spans="1:14" ht="14.25" x14ac:dyDescent="0.2">
      <c r="A85" s="55" t="s">
        <v>1281</v>
      </c>
      <c r="B85" s="40" t="s">
        <v>1996</v>
      </c>
      <c r="C85" s="358">
        <f>VLOOKUP($A85,[0]!Data,208,FALSE)</f>
        <v>107113</v>
      </c>
      <c r="D85" s="358">
        <f>VLOOKUP($A85,[0]!Data,209,FALSE)</f>
        <v>9932</v>
      </c>
      <c r="E85" s="358">
        <f>VLOOKUP($A85,[0]!Data,210,FALSE)</f>
        <v>101145</v>
      </c>
      <c r="F85" s="358">
        <f>VLOOKUP($A85,[0]!Data,212,FALSE)</f>
        <v>1675</v>
      </c>
      <c r="G85" s="358">
        <f>VLOOKUP($A85,[0]!Data,213,FALSE)</f>
        <v>219865</v>
      </c>
      <c r="H85" s="358">
        <f>VLOOKUP($A85,[0]!Data,214,FALSE)+VLOOKUP($A85,[0]!Data,225,FALSE)</f>
        <v>31028</v>
      </c>
      <c r="I85" s="358">
        <f>VLOOKUP($A85,[0]!Data,215,FALSE)+VLOOKUP($A85,[0]!Data,228,FALSE)</f>
        <v>95692</v>
      </c>
      <c r="J85" s="358">
        <f>VLOOKUP($A85,[0]!Data,222,FALSE)</f>
        <v>11245</v>
      </c>
      <c r="K85" s="358">
        <f>VLOOKUP($A85,[0]!Data,229,FALSE)</f>
        <v>415</v>
      </c>
      <c r="L85" s="358">
        <f>VLOOKUP($A85,[0]!Data,233,FALSE)</f>
        <v>46331</v>
      </c>
      <c r="M85" s="358">
        <f>VLOOKUP($A85,[0]!Data,234,FALSE)</f>
        <v>65899</v>
      </c>
      <c r="N85" s="420">
        <f>VLOOKUP($A85,[0]!Data,239,FALSE)</f>
        <v>404576</v>
      </c>
    </row>
    <row r="86" spans="1:14" ht="14.25" x14ac:dyDescent="0.2">
      <c r="A86" s="55" t="s">
        <v>1297</v>
      </c>
      <c r="B86" s="40" t="s">
        <v>1997</v>
      </c>
      <c r="C86" s="358">
        <f>VLOOKUP($A86,[0]!Data,208,FALSE)</f>
        <v>181915</v>
      </c>
      <c r="D86" s="358">
        <f>VLOOKUP($A86,[0]!Data,209,FALSE)</f>
        <v>18203</v>
      </c>
      <c r="E86" s="358">
        <f>VLOOKUP($A86,[0]!Data,210,FALSE)</f>
        <v>145179</v>
      </c>
      <c r="F86" s="358">
        <f>VLOOKUP($A86,[0]!Data,212,FALSE)</f>
        <v>819</v>
      </c>
      <c r="G86" s="358">
        <f>VLOOKUP($A86,[0]!Data,213,FALSE)</f>
        <v>346117</v>
      </c>
      <c r="H86" s="358">
        <f>VLOOKUP($A86,[0]!Data,214,FALSE)+VLOOKUP($A86,[0]!Data,225,FALSE)</f>
        <v>43255</v>
      </c>
      <c r="I86" s="358">
        <f>VLOOKUP($A86,[0]!Data,215,FALSE)+VLOOKUP($A86,[0]!Data,228,FALSE)</f>
        <v>147597</v>
      </c>
      <c r="J86" s="358">
        <f>VLOOKUP($A86,[0]!Data,222,FALSE)</f>
        <v>33624</v>
      </c>
      <c r="K86" s="358">
        <f>VLOOKUP($A86,[0]!Data,229,FALSE)</f>
        <v>1320</v>
      </c>
      <c r="L86" s="358">
        <f>VLOOKUP($A86,[0]!Data,233,FALSE)</f>
        <v>101289</v>
      </c>
      <c r="M86" s="358">
        <f>VLOOKUP($A86,[0]!Data,234,FALSE)</f>
        <v>153119</v>
      </c>
      <c r="N86" s="420">
        <f>VLOOKUP($A86,[0]!Data,239,FALSE)</f>
        <v>733357</v>
      </c>
    </row>
    <row r="87" spans="1:14" ht="14.25" x14ac:dyDescent="0.2">
      <c r="A87" s="55" t="s">
        <v>1341</v>
      </c>
      <c r="B87" s="40" t="s">
        <v>1998</v>
      </c>
      <c r="C87" s="358">
        <f>VLOOKUP($A87,[0]!Data,208,FALSE)</f>
        <v>25617</v>
      </c>
      <c r="D87" s="358">
        <f>VLOOKUP($A87,[0]!Data,209,FALSE)</f>
        <v>3347</v>
      </c>
      <c r="E87" s="358">
        <f>VLOOKUP($A87,[0]!Data,210,FALSE)</f>
        <v>31889</v>
      </c>
      <c r="F87" s="358">
        <f>VLOOKUP($A87,[0]!Data,212,FALSE)</f>
        <v>353</v>
      </c>
      <c r="G87" s="358">
        <f>VLOOKUP($A87,[0]!Data,213,FALSE)</f>
        <v>62480</v>
      </c>
      <c r="H87" s="358">
        <f>VLOOKUP($A87,[0]!Data,214,FALSE)+VLOOKUP($A87,[0]!Data,225,FALSE)</f>
        <v>2332</v>
      </c>
      <c r="I87" s="358">
        <f>VLOOKUP($A87,[0]!Data,215,FALSE)+VLOOKUP($A87,[0]!Data,228,FALSE)</f>
        <v>11348</v>
      </c>
      <c r="J87" s="358">
        <f>VLOOKUP($A87,[0]!Data,222,FALSE)</f>
        <v>3418</v>
      </c>
      <c r="K87" s="358">
        <f>VLOOKUP($A87,[0]!Data,229,FALSE)</f>
        <v>82</v>
      </c>
      <c r="L87" s="358">
        <f>VLOOKUP($A87,[0]!Data,233,FALSE)</f>
        <v>17458</v>
      </c>
      <c r="M87" s="358">
        <f>VLOOKUP($A87,[0]!Data,234,FALSE)</f>
        <v>21718</v>
      </c>
      <c r="N87" s="420">
        <f>VLOOKUP($A87,[0]!Data,239,FALSE)</f>
        <v>97134</v>
      </c>
    </row>
    <row r="88" spans="1:14" ht="14.25" x14ac:dyDescent="0.2">
      <c r="A88" s="55" t="s">
        <v>1409</v>
      </c>
      <c r="B88" s="40" t="s">
        <v>1999</v>
      </c>
      <c r="C88" s="358">
        <f>VLOOKUP($A88,[0]!Data,208,FALSE)</f>
        <v>110973</v>
      </c>
      <c r="D88" s="358">
        <f>VLOOKUP($A88,[0]!Data,209,FALSE)</f>
        <v>13793</v>
      </c>
      <c r="E88" s="358">
        <f>VLOOKUP($A88,[0]!Data,210,FALSE)</f>
        <v>206749</v>
      </c>
      <c r="F88" s="358">
        <f>VLOOKUP($A88,[0]!Data,212,FALSE)</f>
        <v>89</v>
      </c>
      <c r="G88" s="358">
        <f>VLOOKUP($A88,[0]!Data,213,FALSE)</f>
        <v>331605</v>
      </c>
      <c r="H88" s="358">
        <f>VLOOKUP($A88,[0]!Data,214,FALSE)+VLOOKUP($A88,[0]!Data,225,FALSE)</f>
        <v>45118</v>
      </c>
      <c r="I88" s="358">
        <f>VLOOKUP($A88,[0]!Data,215,FALSE)+VLOOKUP($A88,[0]!Data,228,FALSE)</f>
        <v>88416</v>
      </c>
      <c r="J88" s="358">
        <f>VLOOKUP($A88,[0]!Data,222,FALSE)</f>
        <v>37068</v>
      </c>
      <c r="K88" s="358">
        <f>VLOOKUP($A88,[0]!Data,229,FALSE)</f>
        <v>1696</v>
      </c>
      <c r="L88" s="358">
        <f>VLOOKUP($A88,[0]!Data,233,FALSE)</f>
        <v>10333</v>
      </c>
      <c r="M88" s="358">
        <f>VLOOKUP($A88,[0]!Data,234,FALSE)</f>
        <v>71636</v>
      </c>
      <c r="N88" s="420">
        <f>VLOOKUP($A88,[0]!Data,239,FALSE)</f>
        <v>514368</v>
      </c>
    </row>
    <row r="89" spans="1:14" ht="14.25" x14ac:dyDescent="0.2">
      <c r="A89" s="55" t="s">
        <v>1245</v>
      </c>
      <c r="B89" s="40" t="s">
        <v>2000</v>
      </c>
      <c r="C89" s="358">
        <f>VLOOKUP($A89,[0]!Data,208,FALSE)</f>
        <v>10819</v>
      </c>
      <c r="D89" s="358">
        <f>VLOOKUP($A89,[0]!Data,209,FALSE)</f>
        <v>653</v>
      </c>
      <c r="E89" s="358">
        <f>VLOOKUP($A89,[0]!Data,210,FALSE)</f>
        <v>13399</v>
      </c>
      <c r="F89" s="358">
        <f>VLOOKUP($A89,[0]!Data,212,FALSE)</f>
        <v>300</v>
      </c>
      <c r="G89" s="358">
        <f>VLOOKUP($A89,[0]!Data,213,FALSE)</f>
        <v>25171</v>
      </c>
      <c r="H89" s="358">
        <f>VLOOKUP($A89,[0]!Data,214,FALSE)+VLOOKUP($A89,[0]!Data,225,FALSE)</f>
        <v>957</v>
      </c>
      <c r="I89" s="358">
        <f>VLOOKUP($A89,[0]!Data,215,FALSE)+VLOOKUP($A89,[0]!Data,228,FALSE)</f>
        <v>5106</v>
      </c>
      <c r="J89" s="358">
        <f>VLOOKUP($A89,[0]!Data,222,FALSE)</f>
        <v>3</v>
      </c>
      <c r="K89" s="358">
        <f>VLOOKUP($A89,[0]!Data,229,FALSE)</f>
        <v>0</v>
      </c>
      <c r="L89" s="358">
        <f>VLOOKUP($A89,[0]!Data,233,FALSE)</f>
        <v>406</v>
      </c>
      <c r="M89" s="358">
        <f>VLOOKUP($A89,[0]!Data,234,FALSE)</f>
        <v>478</v>
      </c>
      <c r="N89" s="420">
        <f>VLOOKUP($A89,[0]!Data,239,FALSE)</f>
        <v>31643</v>
      </c>
    </row>
    <row r="90" spans="1:14" ht="14.25" x14ac:dyDescent="0.2">
      <c r="A90" s="55" t="s">
        <v>1613</v>
      </c>
      <c r="B90" s="40" t="s">
        <v>2001</v>
      </c>
      <c r="C90" s="358">
        <f>VLOOKUP($A90,[0]!Data,208,FALSE)</f>
        <v>14675</v>
      </c>
      <c r="D90" s="358">
        <f>VLOOKUP($A90,[0]!Data,209,FALSE)</f>
        <v>987</v>
      </c>
      <c r="E90" s="358">
        <f>VLOOKUP($A90,[0]!Data,210,FALSE)</f>
        <v>8250</v>
      </c>
      <c r="F90" s="358">
        <f>VLOOKUP($A90,[0]!Data,212,FALSE)</f>
        <v>242</v>
      </c>
      <c r="G90" s="358">
        <f>VLOOKUP($A90,[0]!Data,213,FALSE)</f>
        <v>24237</v>
      </c>
      <c r="H90" s="358">
        <f>VLOOKUP($A90,[0]!Data,214,FALSE)+VLOOKUP($A90,[0]!Data,225,FALSE)</f>
        <v>1111</v>
      </c>
      <c r="I90" s="358">
        <f>VLOOKUP($A90,[0]!Data,215,FALSE)+VLOOKUP($A90,[0]!Data,228,FALSE)</f>
        <v>2795</v>
      </c>
      <c r="J90" s="358">
        <f>VLOOKUP($A90,[0]!Data,222,FALSE)</f>
        <v>251</v>
      </c>
      <c r="K90" s="358">
        <f>VLOOKUP($A90,[0]!Data,229,FALSE)</f>
        <v>0</v>
      </c>
      <c r="L90" s="358">
        <f>VLOOKUP($A90,[0]!Data,233,FALSE)</f>
        <v>112</v>
      </c>
      <c r="M90" s="358">
        <f>VLOOKUP($A90,[0]!Data,234,FALSE)</f>
        <v>411</v>
      </c>
      <c r="N90" s="420">
        <f>VLOOKUP($A90,[0]!Data,239,FALSE)</f>
        <v>28541</v>
      </c>
    </row>
    <row r="91" spans="1:14" ht="14.25" x14ac:dyDescent="0.2">
      <c r="A91" s="55" t="s">
        <v>1742</v>
      </c>
      <c r="B91" s="40" t="s">
        <v>2002</v>
      </c>
      <c r="C91" s="358">
        <f>VLOOKUP($A91,[0]!Data,208,FALSE)</f>
        <v>46059</v>
      </c>
      <c r="D91" s="358">
        <f>VLOOKUP($A91,[0]!Data,209,FALSE)</f>
        <v>2686</v>
      </c>
      <c r="E91" s="358">
        <f>VLOOKUP($A91,[0]!Data,210,FALSE)</f>
        <v>47460</v>
      </c>
      <c r="F91" s="358">
        <f>VLOOKUP($A91,[0]!Data,212,FALSE)</f>
        <v>1164</v>
      </c>
      <c r="G91" s="358">
        <f>VLOOKUP($A91,[0]!Data,213,FALSE)</f>
        <v>97369</v>
      </c>
      <c r="H91" s="358">
        <f>VLOOKUP($A91,[0]!Data,214,FALSE)+VLOOKUP($A91,[0]!Data,225,FALSE)</f>
        <v>14443</v>
      </c>
      <c r="I91" s="358">
        <f>VLOOKUP($A91,[0]!Data,215,FALSE)+VLOOKUP($A91,[0]!Data,228,FALSE)</f>
        <v>4836</v>
      </c>
      <c r="J91" s="358">
        <f>VLOOKUP($A91,[0]!Data,222,FALSE)</f>
        <v>11260</v>
      </c>
      <c r="K91" s="358">
        <f>VLOOKUP($A91,[0]!Data,229,FALSE)</f>
        <v>263</v>
      </c>
      <c r="L91" s="358">
        <f>VLOOKUP($A91,[0]!Data,233,FALSE)</f>
        <v>6508</v>
      </c>
      <c r="M91" s="358">
        <f>VLOOKUP($A91,[0]!Data,234,FALSE)</f>
        <v>24241</v>
      </c>
      <c r="N91" s="420">
        <f>VLOOKUP($A91,[0]!Data,239,FALSE)</f>
        <v>134679</v>
      </c>
    </row>
    <row r="92" spans="1:14" ht="14.25" x14ac:dyDescent="0.2">
      <c r="A92" s="55" t="s">
        <v>1178</v>
      </c>
      <c r="B92" s="40" t="s">
        <v>2003</v>
      </c>
      <c r="C92" s="358">
        <f>VLOOKUP($A92,[0]!Data,208,FALSE)</f>
        <v>37913</v>
      </c>
      <c r="D92" s="358">
        <f>VLOOKUP($A92,[0]!Data,209,FALSE)</f>
        <v>4846</v>
      </c>
      <c r="E92" s="358">
        <f>VLOOKUP($A92,[0]!Data,210,FALSE)</f>
        <v>19230</v>
      </c>
      <c r="F92" s="556">
        <f>VLOOKUP($A92,[0]!Data,212,FALSE)</f>
        <v>364</v>
      </c>
      <c r="G92" s="358">
        <f>VLOOKUP($A92,[0]!Data,213,FALSE)</f>
        <v>63661</v>
      </c>
      <c r="H92" s="358">
        <f>VLOOKUP($A92,[0]!Data,214,FALSE)+VLOOKUP($A92,[0]!Data,225,FALSE)</f>
        <v>7656</v>
      </c>
      <c r="I92" s="358">
        <f>VLOOKUP($A92,[0]!Data,215,FALSE)+VLOOKUP($A92,[0]!Data,228,FALSE)</f>
        <v>24305</v>
      </c>
      <c r="J92" s="358">
        <f>VLOOKUP($A92,[0]!Data,222,FALSE)</f>
        <v>7095</v>
      </c>
      <c r="K92" s="358">
        <f>VLOOKUP($A92,[0]!Data,229,FALSE)</f>
        <v>181</v>
      </c>
      <c r="L92" s="358">
        <f>VLOOKUP($A92,[0]!Data,233,FALSE)</f>
        <v>568</v>
      </c>
      <c r="M92" s="358">
        <f>VLOOKUP($A92,[0]!Data,234,FALSE)</f>
        <v>8685</v>
      </c>
      <c r="N92" s="420">
        <f>VLOOKUP($A92,[0]!Data,239,FALSE)</f>
        <v>104077</v>
      </c>
    </row>
    <row r="93" spans="1:14" thickBot="1" x14ac:dyDescent="0.25">
      <c r="A93" s="648" t="s">
        <v>1882</v>
      </c>
      <c r="B93" s="649"/>
      <c r="C93" s="480">
        <f t="shared" ref="C93:M93" si="2">AVERAGE(C82:C92)</f>
        <v>85155.909090909088</v>
      </c>
      <c r="D93" s="361">
        <f t="shared" si="2"/>
        <v>9194.545454545454</v>
      </c>
      <c r="E93" s="361">
        <f t="shared" si="2"/>
        <v>118631.72727272728</v>
      </c>
      <c r="F93" s="361">
        <f t="shared" si="2"/>
        <v>987.81818181818187</v>
      </c>
      <c r="G93" s="361">
        <f t="shared" si="2"/>
        <v>215175.45454545456</v>
      </c>
      <c r="H93" s="361">
        <f t="shared" si="2"/>
        <v>25844</v>
      </c>
      <c r="I93" s="361">
        <f t="shared" si="2"/>
        <v>52884.727272727272</v>
      </c>
      <c r="J93" s="361">
        <f t="shared" si="2"/>
        <v>15192</v>
      </c>
      <c r="K93" s="361">
        <f t="shared" si="2"/>
        <v>588.5454545454545</v>
      </c>
      <c r="L93" s="361">
        <f t="shared" si="2"/>
        <v>27609.363636363636</v>
      </c>
      <c r="M93" s="48">
        <f t="shared" si="2"/>
        <v>52282.090909090912</v>
      </c>
      <c r="N93" s="418">
        <f>SUM(N82:N92)</f>
        <v>3772015</v>
      </c>
    </row>
    <row r="94" spans="1:14" ht="17.25" thickTop="1" thickBot="1" x14ac:dyDescent="0.3">
      <c r="A94" s="142"/>
      <c r="B94" s="18"/>
      <c r="C94" s="67"/>
      <c r="D94" s="67"/>
      <c r="E94" s="67"/>
      <c r="F94" s="618"/>
      <c r="M94" s="69"/>
      <c r="N94" s="422"/>
    </row>
    <row r="95" spans="1:14" thickTop="1" x14ac:dyDescent="0.2">
      <c r="A95" s="654" t="s">
        <v>1883</v>
      </c>
      <c r="B95" s="655"/>
      <c r="C95" s="365">
        <f>AVERAGE(C82:C92,C68:C79,C8:C65)</f>
        <v>190570.72839506174</v>
      </c>
      <c r="D95" s="365">
        <f t="shared" ref="D95:M95" si="3">AVERAGE(D82:D92,D68:D79,D8:D65)</f>
        <v>20638.987654320987</v>
      </c>
      <c r="E95" s="365">
        <f t="shared" si="3"/>
        <v>235619.03703703705</v>
      </c>
      <c r="F95" s="365">
        <f t="shared" si="3"/>
        <v>2694.3333333333335</v>
      </c>
      <c r="G95" s="365">
        <f t="shared" si="3"/>
        <v>451391.64197530865</v>
      </c>
      <c r="H95" s="365">
        <f t="shared" si="3"/>
        <v>43057.222222222219</v>
      </c>
      <c r="I95" s="365">
        <f t="shared" si="3"/>
        <v>68069.28395061729</v>
      </c>
      <c r="J95" s="365">
        <f t="shared" si="3"/>
        <v>40445.641975308645</v>
      </c>
      <c r="K95" s="365">
        <f t="shared" si="3"/>
        <v>1852.1975308641975</v>
      </c>
      <c r="L95" s="365">
        <f t="shared" si="3"/>
        <v>106114.30864197531</v>
      </c>
      <c r="M95" s="366">
        <f t="shared" si="3"/>
        <v>166621.04938271604</v>
      </c>
      <c r="N95" s="423">
        <f>SUM(N82:N92,N68:N79,N8:N57,N59:N65)</f>
        <v>57715040</v>
      </c>
    </row>
    <row r="96" spans="1:14" x14ac:dyDescent="0.25">
      <c r="C96" s="359"/>
      <c r="N96" s="424" t="s">
        <v>1873</v>
      </c>
    </row>
    <row r="97" spans="3:3" x14ac:dyDescent="0.25">
      <c r="C97" s="359"/>
    </row>
  </sheetData>
  <mergeCells count="10">
    <mergeCell ref="C4:G4"/>
    <mergeCell ref="H4:K4"/>
    <mergeCell ref="M4:M6"/>
    <mergeCell ref="N4:N6"/>
    <mergeCell ref="A66:B66"/>
    <mergeCell ref="A67:B67"/>
    <mergeCell ref="A80:B80"/>
    <mergeCell ref="A93:B93"/>
    <mergeCell ref="A95:B95"/>
    <mergeCell ref="B4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9"/>
  <sheetViews>
    <sheetView workbookViewId="0">
      <selection activeCell="K1" sqref="K1"/>
    </sheetView>
  </sheetViews>
  <sheetFormatPr defaultColWidth="8.85546875" defaultRowHeight="15" x14ac:dyDescent="0.25"/>
  <cols>
    <col min="1" max="1" width="7.42578125" customWidth="1"/>
    <col min="2" max="2" width="19.42578125" customWidth="1"/>
    <col min="3" max="3" width="14" customWidth="1"/>
    <col min="4" max="5" width="11" customWidth="1"/>
    <col min="6" max="6" width="13.140625" customWidth="1"/>
    <col min="7" max="7" width="10.42578125" style="286" customWidth="1"/>
    <col min="8" max="8" width="11.42578125" style="286" customWidth="1"/>
    <col min="9" max="9" width="15.85546875" style="460" customWidth="1"/>
    <col min="10" max="10" width="11.140625" style="460" customWidth="1"/>
    <col min="11" max="11" width="11.7109375" style="459" customWidth="1"/>
  </cols>
  <sheetData>
    <row r="1" spans="1:12" x14ac:dyDescent="0.25">
      <c r="A1" s="144"/>
      <c r="B1" s="144"/>
      <c r="C1" s="144"/>
      <c r="D1" s="144"/>
      <c r="E1" s="144"/>
      <c r="F1" s="144"/>
      <c r="G1" s="429"/>
      <c r="H1" s="429"/>
      <c r="I1" s="430"/>
      <c r="J1" s="430"/>
      <c r="K1" s="15" t="s">
        <v>2271</v>
      </c>
    </row>
    <row r="2" spans="1:12" x14ac:dyDescent="0.25">
      <c r="A2" s="371" t="s">
        <v>2057</v>
      </c>
      <c r="B2" s="371"/>
      <c r="C2" s="371"/>
      <c r="D2" s="371"/>
      <c r="E2" s="371"/>
      <c r="F2" s="371"/>
      <c r="G2" s="372"/>
      <c r="H2" s="372"/>
      <c r="I2" s="431"/>
      <c r="J2" s="431"/>
      <c r="K2" s="22" t="s">
        <v>2004</v>
      </c>
    </row>
    <row r="3" spans="1:12" ht="15.75" thickBot="1" x14ac:dyDescent="0.3">
      <c r="A3" s="371"/>
      <c r="B3" s="371"/>
      <c r="C3" s="371"/>
      <c r="D3" s="371"/>
      <c r="E3" s="371"/>
      <c r="F3" s="371"/>
      <c r="G3" s="372"/>
      <c r="H3" s="372"/>
      <c r="I3" s="431"/>
      <c r="J3" s="431"/>
      <c r="K3" s="432"/>
    </row>
    <row r="4" spans="1:12" ht="15.75" thickTop="1" x14ac:dyDescent="0.25">
      <c r="A4" s="96"/>
      <c r="B4" s="638"/>
      <c r="C4" s="433" t="s">
        <v>2058</v>
      </c>
      <c r="D4" s="433"/>
      <c r="E4" s="433"/>
      <c r="F4" s="433"/>
      <c r="G4" s="434"/>
      <c r="H4" s="434"/>
      <c r="I4" s="435" t="s">
        <v>2059</v>
      </c>
      <c r="J4" s="436" t="s">
        <v>1873</v>
      </c>
      <c r="K4" s="437" t="s">
        <v>2060</v>
      </c>
    </row>
    <row r="5" spans="1:12" x14ac:dyDescent="0.25">
      <c r="A5" s="99"/>
      <c r="B5" s="683"/>
      <c r="C5" s="146" t="s">
        <v>2061</v>
      </c>
      <c r="D5" s="146" t="s">
        <v>2061</v>
      </c>
      <c r="E5" s="146" t="s">
        <v>2062</v>
      </c>
      <c r="F5" s="146" t="s">
        <v>2063</v>
      </c>
      <c r="G5" s="438" t="s">
        <v>2064</v>
      </c>
      <c r="H5" s="438" t="s">
        <v>2064</v>
      </c>
      <c r="I5" s="439" t="s">
        <v>1905</v>
      </c>
      <c r="J5" s="440" t="s">
        <v>2071</v>
      </c>
      <c r="K5" s="441" t="s">
        <v>2071</v>
      </c>
    </row>
    <row r="6" spans="1:12" ht="15.75" thickBot="1" x14ac:dyDescent="0.3">
      <c r="A6" s="103"/>
      <c r="B6" s="684"/>
      <c r="C6" s="150" t="s">
        <v>2065</v>
      </c>
      <c r="D6" s="150" t="s">
        <v>2066</v>
      </c>
      <c r="E6" s="150" t="s">
        <v>2067</v>
      </c>
      <c r="F6" s="150" t="s">
        <v>2066</v>
      </c>
      <c r="G6" s="263" t="s">
        <v>2065</v>
      </c>
      <c r="H6" s="263" t="s">
        <v>2066</v>
      </c>
      <c r="I6" s="439" t="s">
        <v>2045</v>
      </c>
      <c r="J6" s="440" t="s">
        <v>2045</v>
      </c>
      <c r="K6" s="441" t="s">
        <v>2016</v>
      </c>
    </row>
    <row r="7" spans="1:12" ht="16.5" thickTop="1" thickBot="1" x14ac:dyDescent="0.3">
      <c r="A7" s="34"/>
      <c r="B7" s="49" t="s">
        <v>1863</v>
      </c>
      <c r="C7" s="225"/>
      <c r="D7" s="225"/>
      <c r="E7" s="225"/>
      <c r="F7" s="225"/>
      <c r="G7" s="225"/>
      <c r="H7" s="225"/>
      <c r="I7" s="225"/>
      <c r="J7" s="225"/>
      <c r="K7" s="442"/>
    </row>
    <row r="8" spans="1:12" ht="15.75" thickTop="1" x14ac:dyDescent="0.25">
      <c r="A8" s="40" t="s">
        <v>666</v>
      </c>
      <c r="B8" s="40" t="s">
        <v>1927</v>
      </c>
      <c r="C8" s="248">
        <f>VLOOKUP($A8,[0]!Data,202,FALSE)/'Table 9'!$N8</f>
        <v>0.17645314893625633</v>
      </c>
      <c r="D8" s="248">
        <f>VLOOKUP($A8,[0]!Data,205,FALSE)/'Table 9'!$N8</f>
        <v>5.0603965184730981E-2</v>
      </c>
      <c r="E8" s="248">
        <f>VLOOKUP($A8,[0]!Data,203,FALSE)/'Table 9'!$N8</f>
        <v>2.0414812476348323E-2</v>
      </c>
      <c r="F8" s="248">
        <f>VLOOKUP($A8,[0]!Data,206,FALSE)/'Table 9'!$N8</f>
        <v>0</v>
      </c>
      <c r="G8" s="461">
        <f>VLOOKUP($A8,[0]!Data,204,FALSE)/'Table 9'!$N8</f>
        <v>0.16768052680253606</v>
      </c>
      <c r="H8" s="248">
        <f>VLOOKUP($A8,[0]!Data,207,FALSE)/'Table 9'!$N8</f>
        <v>3.2450607203061414E-2</v>
      </c>
      <c r="I8" s="443">
        <f>'Table 9'!M8/'Table 1'!D8</f>
        <v>1.11053478692771</v>
      </c>
      <c r="J8" s="444">
        <f>'Table 9'!N8/'Table 1'!D8</f>
        <v>6.2136255611301818</v>
      </c>
      <c r="K8" s="159">
        <f>'Table 6'!L8/'Table 9'!N8</f>
        <v>2.835560385388272</v>
      </c>
      <c r="L8" s="445"/>
    </row>
    <row r="9" spans="1:12" x14ac:dyDescent="0.25">
      <c r="A9" s="40" t="s">
        <v>711</v>
      </c>
      <c r="B9" s="40" t="s">
        <v>1928</v>
      </c>
      <c r="C9" s="248">
        <f>VLOOKUP($A9,[0]!Data,202,FALSE)/'Table 9'!$N9</f>
        <v>0.25033584094572808</v>
      </c>
      <c r="D9" s="248">
        <f>VLOOKUP($A9,[0]!Data,205,FALSE)/'Table 9'!$N9</f>
        <v>5.4193533942324915E-2</v>
      </c>
      <c r="E9" s="248">
        <f>VLOOKUP($A9,[0]!Data,203,FALSE)/'Table 9'!$N9</f>
        <v>5.1865036718610064E-2</v>
      </c>
      <c r="F9" s="248">
        <f>VLOOKUP($A9,[0]!Data,206,FALSE)/'Table 9'!$N9</f>
        <v>5.5973490954683863E-5</v>
      </c>
      <c r="G9" s="461">
        <f>VLOOKUP($A9,[0]!Data,204,FALSE)/'Table 9'!$N9</f>
        <v>0.25779150994089201</v>
      </c>
      <c r="H9" s="248">
        <f>VLOOKUP($A9,[0]!Data,207,FALSE)/'Table 9'!$N9</f>
        <v>4.3849632813899336E-2</v>
      </c>
      <c r="I9" s="443">
        <f>'Table 9'!M9/'Table 1'!D9</f>
        <v>0.20815484275415316</v>
      </c>
      <c r="J9" s="444">
        <f>'Table 9'!N9/'Table 1'!D9</f>
        <v>2.3332985059032496</v>
      </c>
      <c r="K9" s="159">
        <f>'Table 6'!L9/'Table 9'!N9</f>
        <v>5.3650031345154936</v>
      </c>
    </row>
    <row r="10" spans="1:12" x14ac:dyDescent="0.25">
      <c r="A10" s="40" t="s">
        <v>775</v>
      </c>
      <c r="B10" s="40" t="s">
        <v>1929</v>
      </c>
      <c r="C10" s="248">
        <f>VLOOKUP($A10,[0]!Data,202,FALSE)/'Table 9'!$N10</f>
        <v>0.31697341513292432</v>
      </c>
      <c r="D10" s="248">
        <f>VLOOKUP($A10,[0]!Data,205,FALSE)/'Table 9'!$N10</f>
        <v>5.6383289512123867E-2</v>
      </c>
      <c r="E10" s="248">
        <f>VLOOKUP($A10,[0]!Data,203,FALSE)/'Table 9'!$N10</f>
        <v>4.9664037394098746E-4</v>
      </c>
      <c r="F10" s="248">
        <f>VLOOKUP($A10,[0]!Data,206,FALSE)/'Table 9'!$N10</f>
        <v>2.9214139643587497E-5</v>
      </c>
      <c r="G10" s="461">
        <f>VLOOKUP($A10,[0]!Data,204,FALSE)/'Table 9'!$N10</f>
        <v>0.36085305287759273</v>
      </c>
      <c r="H10" s="248">
        <f>VLOOKUP($A10,[0]!Data,207,FALSE)/'Table 9'!$N10</f>
        <v>4.2331288343558281E-2</v>
      </c>
      <c r="I10" s="443">
        <f>'Table 9'!M10/'Table 1'!D10</f>
        <v>5.9364813799867307E-2</v>
      </c>
      <c r="J10" s="444">
        <f>'Table 9'!N10/'Table 1'!D10</f>
        <v>0.98739435197738479</v>
      </c>
      <c r="K10" s="159">
        <f>'Table 6'!L10/'Table 9'!N10</f>
        <v>15.488635699678644</v>
      </c>
    </row>
    <row r="11" spans="1:12" x14ac:dyDescent="0.25">
      <c r="A11" s="40" t="s">
        <v>804</v>
      </c>
      <c r="B11" s="40" t="s">
        <v>1930</v>
      </c>
      <c r="C11" s="248">
        <f>VLOOKUP($A11,[0]!Data,202,FALSE)/'Table 9'!$N11</f>
        <v>0.46569340546084848</v>
      </c>
      <c r="D11" s="248">
        <f>VLOOKUP($A11,[0]!Data,205,FALSE)/'Table 9'!$N11</f>
        <v>9.0981266242251793E-2</v>
      </c>
      <c r="E11" s="248">
        <f>VLOOKUP($A11,[0]!Data,203,FALSE)/'Table 9'!$N11</f>
        <v>0</v>
      </c>
      <c r="F11" s="248">
        <f>VLOOKUP($A11,[0]!Data,206,FALSE)/'Table 9'!$N11</f>
        <v>0</v>
      </c>
      <c r="G11" s="461">
        <f>VLOOKUP($A11,[0]!Data,204,FALSE)/'Table 9'!$N11</f>
        <v>0.15244909733762679</v>
      </c>
      <c r="H11" s="248">
        <f>VLOOKUP($A11,[0]!Data,207,FALSE)/'Table 9'!$N11</f>
        <v>2.2609707627139538E-2</v>
      </c>
      <c r="I11" s="443">
        <f>'Table 9'!M11/'Table 1'!D11</f>
        <v>0.37261056751467708</v>
      </c>
      <c r="J11" s="444">
        <f>'Table 9'!N11/'Table 1'!D11</f>
        <v>3.1747788649706457</v>
      </c>
      <c r="K11" s="159">
        <f>'Table 6'!L11/'Table 9'!N11</f>
        <v>3.0725557106154673</v>
      </c>
    </row>
    <row r="12" spans="1:12" x14ac:dyDescent="0.25">
      <c r="A12" s="40" t="s">
        <v>818</v>
      </c>
      <c r="B12" s="40" t="s">
        <v>1931</v>
      </c>
      <c r="C12" s="248">
        <f>VLOOKUP($A12,[0]!Data,202,FALSE)/'Table 9'!$N12</f>
        <v>0.21941734019824785</v>
      </c>
      <c r="D12" s="248">
        <f>VLOOKUP($A12,[0]!Data,205,FALSE)/'Table 9'!$N12</f>
        <v>9.0049109367860022E-2</v>
      </c>
      <c r="E12" s="248">
        <f>VLOOKUP($A12,[0]!Data,203,FALSE)/'Table 9'!$N12</f>
        <v>1.4067003805076271E-2</v>
      </c>
      <c r="F12" s="248">
        <f>VLOOKUP($A12,[0]!Data,206,FALSE)/'Table 9'!$N12</f>
        <v>7.8026420687225782E-3</v>
      </c>
      <c r="G12" s="461">
        <f>VLOOKUP($A12,[0]!Data,204,FALSE)/'Table 9'!$N12</f>
        <v>0.22031871467162814</v>
      </c>
      <c r="H12" s="248">
        <f>VLOOKUP($A12,[0]!Data,207,FALSE)/'Table 9'!$N12</f>
        <v>5.6505764325201512E-2</v>
      </c>
      <c r="I12" s="443">
        <f>'Table 9'!M12/'Table 1'!D12</f>
        <v>1.5608964188138046</v>
      </c>
      <c r="J12" s="444">
        <f>'Table 9'!N12/'Table 1'!D12</f>
        <v>7.0968398566596749</v>
      </c>
      <c r="K12" s="159">
        <f>'Table 6'!L12/'Table 9'!N12</f>
        <v>2.8201798822814754</v>
      </c>
    </row>
    <row r="13" spans="1:12" x14ac:dyDescent="0.25">
      <c r="A13" s="40" t="s">
        <v>831</v>
      </c>
      <c r="B13" s="40" t="s">
        <v>1932</v>
      </c>
      <c r="C13" s="248">
        <f>VLOOKUP($A13,[0]!Data,202,FALSE)/'Table 9'!$N13</f>
        <v>0.26394131662784781</v>
      </c>
      <c r="D13" s="248">
        <f>VLOOKUP($A13,[0]!Data,205,FALSE)/'Table 9'!$N13</f>
        <v>0.10329826252242122</v>
      </c>
      <c r="E13" s="248">
        <f>VLOOKUP($A13,[0]!Data,203,FALSE)/'Table 9'!$N13</f>
        <v>3.9568441624501377E-2</v>
      </c>
      <c r="F13" s="248">
        <f>VLOOKUP($A13,[0]!Data,206,FALSE)/'Table 9'!$N13</f>
        <v>1.1480559348200501E-2</v>
      </c>
      <c r="G13" s="461">
        <f>VLOOKUP($A13,[0]!Data,204,FALSE)/'Table 9'!$N13</f>
        <v>0.21577472581408008</v>
      </c>
      <c r="H13" s="248">
        <f>VLOOKUP($A13,[0]!Data,207,FALSE)/'Table 9'!$N13</f>
        <v>5.0553726162111033E-2</v>
      </c>
      <c r="I13" s="443">
        <f>'Table 9'!M13/'Table 1'!D13</f>
        <v>0.63492930125798075</v>
      </c>
      <c r="J13" s="444">
        <f>'Table 9'!N13/'Table 1'!D13</f>
        <v>2.4972199627842713</v>
      </c>
      <c r="K13" s="159">
        <f>'Table 6'!L13/'Table 9'!N13</f>
        <v>5.9177933053123803</v>
      </c>
    </row>
    <row r="14" spans="1:12" x14ac:dyDescent="0.25">
      <c r="A14" s="40" t="s">
        <v>843</v>
      </c>
      <c r="B14" s="40" t="s">
        <v>1933</v>
      </c>
      <c r="C14" s="248">
        <f>VLOOKUP($A14,[0]!Data,202,FALSE)/'Table 9'!$N14</f>
        <v>0.16723679171219458</v>
      </c>
      <c r="D14" s="248">
        <f>VLOOKUP($A14,[0]!Data,205,FALSE)/'Table 9'!$N14</f>
        <v>6.4347901259636256E-2</v>
      </c>
      <c r="E14" s="248">
        <f>VLOOKUP($A14,[0]!Data,203,FALSE)/'Table 9'!$N14</f>
        <v>3.2178976710148965E-2</v>
      </c>
      <c r="F14" s="248">
        <f>VLOOKUP($A14,[0]!Data,206,FALSE)/'Table 9'!$N14</f>
        <v>0</v>
      </c>
      <c r="G14" s="461">
        <f>VLOOKUP($A14,[0]!Data,204,FALSE)/'Table 9'!$N14</f>
        <v>0.31163809004926563</v>
      </c>
      <c r="H14" s="248">
        <f>VLOOKUP($A14,[0]!Data,207,FALSE)/'Table 9'!$N14</f>
        <v>6.9462440604295697E-2</v>
      </c>
      <c r="I14" s="443">
        <f>'Table 9'!M14/'Table 1'!D14</f>
        <v>1.3097133004091437</v>
      </c>
      <c r="J14" s="444">
        <f>'Table 9'!N14/'Table 1'!D14</f>
        <v>4.9576204880820081</v>
      </c>
      <c r="K14" s="159">
        <f>'Table 6'!L14/'Table 9'!N14</f>
        <v>3.3446544117425319</v>
      </c>
    </row>
    <row r="15" spans="1:12" x14ac:dyDescent="0.25">
      <c r="A15" s="40" t="s">
        <v>855</v>
      </c>
      <c r="B15" s="40" t="s">
        <v>1934</v>
      </c>
      <c r="C15" s="248">
        <f>VLOOKUP($A15,[0]!Data,202,FALSE)/'Table 9'!$N15</f>
        <v>0.24979570678253482</v>
      </c>
      <c r="D15" s="248">
        <f>VLOOKUP($A15,[0]!Data,205,FALSE)/'Table 9'!$N15</f>
        <v>8.8924247714975868E-2</v>
      </c>
      <c r="E15" s="248">
        <f>VLOOKUP($A15,[0]!Data,203,FALSE)/'Table 9'!$N15</f>
        <v>4.482931166685266E-2</v>
      </c>
      <c r="F15" s="248">
        <f>VLOOKUP($A15,[0]!Data,206,FALSE)/'Table 9'!$N15</f>
        <v>1.699143588432864E-3</v>
      </c>
      <c r="G15" s="461">
        <f>VLOOKUP($A15,[0]!Data,204,FALSE)/'Table 9'!$N15</f>
        <v>0.19589829617656693</v>
      </c>
      <c r="H15" s="248">
        <f>VLOOKUP($A15,[0]!Data,207,FALSE)/'Table 9'!$N15</f>
        <v>3.8911108151209378E-2</v>
      </c>
      <c r="I15" s="443">
        <f>'Table 9'!M15/'Table 1'!D15</f>
        <v>0.48912675784081572</v>
      </c>
      <c r="J15" s="444">
        <f>'Table 9'!N15/'Table 1'!D15</f>
        <v>3.3560503551925773</v>
      </c>
      <c r="K15" s="159">
        <f>'Table 6'!L15/'Table 9'!N15</f>
        <v>3.974422849161408</v>
      </c>
    </row>
    <row r="16" spans="1:12" x14ac:dyDescent="0.25">
      <c r="A16" s="40" t="s">
        <v>868</v>
      </c>
      <c r="B16" s="40" t="s">
        <v>1935</v>
      </c>
      <c r="C16" s="248">
        <f>VLOOKUP($A16,[0]!Data,202,FALSE)/'Table 9'!$N16</f>
        <v>0.24740677443091458</v>
      </c>
      <c r="D16" s="248">
        <f>VLOOKUP($A16,[0]!Data,205,FALSE)/'Table 9'!$N16</f>
        <v>9.3356120487075409E-2</v>
      </c>
      <c r="E16" s="248">
        <f>VLOOKUP($A16,[0]!Data,203,FALSE)/'Table 9'!$N16</f>
        <v>5.2457926843741842E-2</v>
      </c>
      <c r="F16" s="248">
        <f>VLOOKUP($A16,[0]!Data,206,FALSE)/'Table 9'!$N16</f>
        <v>1.5238909065014598E-2</v>
      </c>
      <c r="G16" s="461">
        <f>VLOOKUP($A16,[0]!Data,204,FALSE)/'Table 9'!$N16</f>
        <v>0.29243513968999979</v>
      </c>
      <c r="H16" s="248">
        <f>VLOOKUP($A16,[0]!Data,207,FALSE)/'Table 9'!$N16</f>
        <v>7.7642479052434196E-2</v>
      </c>
      <c r="I16" s="443">
        <f>'Table 9'!M16/'Table 1'!D16</f>
        <v>8.5271645067330828E-2</v>
      </c>
      <c r="J16" s="444">
        <f>'Table 9'!N16/'Table 1'!D16</f>
        <v>1.7784203638819704</v>
      </c>
      <c r="K16" s="159">
        <f>'Table 6'!L16/'Table 9'!N16</f>
        <v>7.4484321963493079</v>
      </c>
    </row>
    <row r="17" spans="1:11" x14ac:dyDescent="0.25">
      <c r="A17" s="40" t="s">
        <v>881</v>
      </c>
      <c r="B17" s="40" t="s">
        <v>1936</v>
      </c>
      <c r="C17" s="248">
        <f>VLOOKUP($A17,[0]!Data,202,FALSE)/'Table 9'!$N17</f>
        <v>0.19170144960005714</v>
      </c>
      <c r="D17" s="248">
        <f>VLOOKUP($A17,[0]!Data,205,FALSE)/'Table 9'!$N17</f>
        <v>4.952245508252931E-2</v>
      </c>
      <c r="E17" s="248">
        <f>VLOOKUP($A17,[0]!Data,203,FALSE)/'Table 9'!$N17</f>
        <v>2.6486980549156363E-2</v>
      </c>
      <c r="F17" s="248">
        <f>VLOOKUP($A17,[0]!Data,206,FALSE)/'Table 9'!$N17</f>
        <v>2.6852262230036544E-3</v>
      </c>
      <c r="G17" s="461">
        <f>VLOOKUP($A17,[0]!Data,204,FALSE)/'Table 9'!$N17</f>
        <v>0.19119492566923663</v>
      </c>
      <c r="H17" s="248">
        <f>VLOOKUP($A17,[0]!Data,207,FALSE)/'Table 9'!$N17</f>
        <v>2.930046122900239E-2</v>
      </c>
      <c r="I17" s="443">
        <f>'Table 9'!M17/'Table 1'!D17</f>
        <v>1.2091414889585559</v>
      </c>
      <c r="J17" s="444">
        <f>'Table 9'!N17/'Table 1'!D17</f>
        <v>5.3050866434698731</v>
      </c>
      <c r="K17" s="159">
        <f>'Table 6'!L17/'Table 9'!N17</f>
        <v>4.403780746570817</v>
      </c>
    </row>
    <row r="18" spans="1:11" x14ac:dyDescent="0.25">
      <c r="A18" s="40" t="s">
        <v>932</v>
      </c>
      <c r="B18" s="40" t="s">
        <v>1937</v>
      </c>
      <c r="C18" s="248">
        <f>VLOOKUP($A18,[0]!Data,202,FALSE)/'Table 9'!$N18</f>
        <v>0.21138278185442672</v>
      </c>
      <c r="D18" s="248">
        <f>VLOOKUP($A18,[0]!Data,205,FALSE)/'Table 9'!$N18</f>
        <v>8.8412869667112037E-2</v>
      </c>
      <c r="E18" s="248">
        <f>VLOOKUP($A18,[0]!Data,203,FALSE)/'Table 9'!$N18</f>
        <v>2.8515901312545996E-2</v>
      </c>
      <c r="F18" s="248">
        <f>VLOOKUP($A18,[0]!Data,206,FALSE)/'Table 9'!$N18</f>
        <v>1.6790871481955173E-4</v>
      </c>
      <c r="G18" s="461">
        <f>VLOOKUP($A18,[0]!Data,204,FALSE)/'Table 9'!$N18</f>
        <v>0.25875804711447087</v>
      </c>
      <c r="H18" s="248">
        <f>VLOOKUP($A18,[0]!Data,207,FALSE)/'Table 9'!$N18</f>
        <v>5.6242274412855377E-2</v>
      </c>
      <c r="I18" s="443">
        <f>'Table 9'!M18/'Table 1'!D18</f>
        <v>0.7083617607728625</v>
      </c>
      <c r="J18" s="444">
        <f>'Table 9'!N18/'Table 1'!D18</f>
        <v>3.8194743880140818</v>
      </c>
      <c r="K18" s="159">
        <f>'Table 6'!L18/'Table 9'!N18</f>
        <v>6.9823874475731831</v>
      </c>
    </row>
    <row r="19" spans="1:11" x14ac:dyDescent="0.25">
      <c r="A19" s="40" t="s">
        <v>947</v>
      </c>
      <c r="B19" s="40" t="s">
        <v>1938</v>
      </c>
      <c r="C19" s="248">
        <f>VLOOKUP($A19,[0]!Data,202,FALSE)/'Table 9'!$N19</f>
        <v>0.31062483083137271</v>
      </c>
      <c r="D19" s="248">
        <f>VLOOKUP($A19,[0]!Data,205,FALSE)/'Table 9'!$N19</f>
        <v>8.2955089633346524E-2</v>
      </c>
      <c r="E19" s="248">
        <f>VLOOKUP($A19,[0]!Data,203,FALSE)/'Table 9'!$N19</f>
        <v>2.5057777592704406E-2</v>
      </c>
      <c r="F19" s="248">
        <f>VLOOKUP($A19,[0]!Data,206,FALSE)/'Table 9'!$N19</f>
        <v>3.7477357429886108E-4</v>
      </c>
      <c r="G19" s="461">
        <f>VLOOKUP($A19,[0]!Data,204,FALSE)/'Table 9'!$N19</f>
        <v>0.20418913573049616</v>
      </c>
      <c r="H19" s="248">
        <f>VLOOKUP($A19,[0]!Data,207,FALSE)/'Table 9'!$N19</f>
        <v>3.9762435195402776E-2</v>
      </c>
      <c r="I19" s="443">
        <f>'Table 9'!M19/'Table 1'!D19</f>
        <v>0.34588774393065541</v>
      </c>
      <c r="J19" s="444">
        <f>'Table 9'!N19/'Table 1'!D19</f>
        <v>2.1683276712452457</v>
      </c>
      <c r="K19" s="159">
        <f>'Table 6'!L19/'Table 9'!N19</f>
        <v>5.5258749921922172</v>
      </c>
    </row>
    <row r="20" spans="1:11" x14ac:dyDescent="0.25">
      <c r="A20" s="40" t="s">
        <v>961</v>
      </c>
      <c r="B20" s="40" t="s">
        <v>1939</v>
      </c>
      <c r="C20" s="248">
        <f>VLOOKUP($A20,[0]!Data,202,FALSE)/'Table 9'!$N20</f>
        <v>0.45479596347186563</v>
      </c>
      <c r="D20" s="248">
        <f>VLOOKUP($A20,[0]!Data,205,FALSE)/'Table 9'!$N20</f>
        <v>0.10316094386291605</v>
      </c>
      <c r="E20" s="248">
        <f>VLOOKUP($A20,[0]!Data,203,FALSE)/'Table 9'!$N20</f>
        <v>1.9928711828381723E-2</v>
      </c>
      <c r="F20" s="248">
        <f>VLOOKUP($A20,[0]!Data,206,FALSE)/'Table 9'!$N20</f>
        <v>8.9439381542194517E-3</v>
      </c>
      <c r="G20" s="461">
        <f>VLOOKUP($A20,[0]!Data,204,FALSE)/'Table 9'!$N20</f>
        <v>0.15567719060651375</v>
      </c>
      <c r="H20" s="248">
        <f>VLOOKUP($A20,[0]!Data,207,FALSE)/'Table 9'!$N20</f>
        <v>3.6180157812073843E-2</v>
      </c>
      <c r="I20" s="443">
        <f>'Table 9'!M20/'Table 1'!D20</f>
        <v>0.12792487146304782</v>
      </c>
      <c r="J20" s="444">
        <f>'Table 9'!N20/'Table 1'!D20</f>
        <v>1.8594837536287643</v>
      </c>
      <c r="K20" s="159">
        <f>'Table 6'!L20/'Table 9'!N20</f>
        <v>12.836159467313715</v>
      </c>
    </row>
    <row r="21" spans="1:11" x14ac:dyDescent="0.25">
      <c r="A21" s="40" t="s">
        <v>991</v>
      </c>
      <c r="B21" s="40" t="s">
        <v>1940</v>
      </c>
      <c r="C21" s="248">
        <f>VLOOKUP($A21,[0]!Data,202,FALSE)/'Table 9'!$N21</f>
        <v>0.16234743927369064</v>
      </c>
      <c r="D21" s="248">
        <f>VLOOKUP($A21,[0]!Data,205,FALSE)/'Table 9'!$N21</f>
        <v>8.8834927438778924E-2</v>
      </c>
      <c r="E21" s="248">
        <f>VLOOKUP($A21,[0]!Data,203,FALSE)/'Table 9'!$N21</f>
        <v>4.4954110902961593E-2</v>
      </c>
      <c r="F21" s="248">
        <f>VLOOKUP($A21,[0]!Data,206,FALSE)/'Table 9'!$N21</f>
        <v>2.7268086331323554E-4</v>
      </c>
      <c r="G21" s="461">
        <f>VLOOKUP($A21,[0]!Data,204,FALSE)/'Table 9'!$N21</f>
        <v>0.2537590603136336</v>
      </c>
      <c r="H21" s="248">
        <f>VLOOKUP($A21,[0]!Data,207,FALSE)/'Table 9'!$N21</f>
        <v>5.7051583348138687E-2</v>
      </c>
      <c r="I21" s="443">
        <f>'Table 9'!M21/'Table 1'!D21</f>
        <v>1.2019046521781314</v>
      </c>
      <c r="J21" s="444">
        <f>'Table 9'!N21/'Table 1'!D21</f>
        <v>5.3926821577568642</v>
      </c>
      <c r="K21" s="159">
        <f>'Table 6'!L21/'Table 9'!N21</f>
        <v>6.2324207988593505</v>
      </c>
    </row>
    <row r="22" spans="1:11" x14ac:dyDescent="0.25">
      <c r="A22" s="40" t="s">
        <v>1007</v>
      </c>
      <c r="B22" s="40" t="s">
        <v>1941</v>
      </c>
      <c r="C22" s="248">
        <f>VLOOKUP($A22,[0]!Data,202,FALSE)/'Table 9'!$N22</f>
        <v>0.23477063248225447</v>
      </c>
      <c r="D22" s="248">
        <f>VLOOKUP($A22,[0]!Data,205,FALSE)/'Table 9'!$N22</f>
        <v>6.2302041054904264E-2</v>
      </c>
      <c r="E22" s="248">
        <f>VLOOKUP($A22,[0]!Data,203,FALSE)/'Table 9'!$N22</f>
        <v>3.6075563235439173E-2</v>
      </c>
      <c r="F22" s="248">
        <f>VLOOKUP($A22,[0]!Data,206,FALSE)/'Table 9'!$N22</f>
        <v>2.9919884850455373E-3</v>
      </c>
      <c r="G22" s="461">
        <f>VLOOKUP($A22,[0]!Data,204,FALSE)/'Table 9'!$N22</f>
        <v>0.20697874920999082</v>
      </c>
      <c r="H22" s="248">
        <f>VLOOKUP($A22,[0]!Data,207,FALSE)/'Table 9'!$N22</f>
        <v>3.6201599380413618E-2</v>
      </c>
      <c r="I22" s="443">
        <f>'Table 9'!M22/'Table 1'!D22</f>
        <v>0.72651878497202238</v>
      </c>
      <c r="J22" s="444">
        <f>'Table 9'!N22/'Table 1'!D22</f>
        <v>3.4189023780975218</v>
      </c>
      <c r="K22" s="159">
        <f>'Table 6'!L22/'Table 9'!N22</f>
        <v>6.7578242873477974</v>
      </c>
    </row>
    <row r="23" spans="1:11" x14ac:dyDescent="0.25">
      <c r="A23" s="40" t="s">
        <v>1024</v>
      </c>
      <c r="B23" s="40" t="s">
        <v>1942</v>
      </c>
      <c r="C23" s="248">
        <f>VLOOKUP($A23,[0]!Data,202,FALSE)/'Table 9'!$N23</f>
        <v>0.20945764270163844</v>
      </c>
      <c r="D23" s="248">
        <f>VLOOKUP($A23,[0]!Data,205,FALSE)/'Table 9'!$N23</f>
        <v>7.1539469005056686E-2</v>
      </c>
      <c r="E23" s="248">
        <f>VLOOKUP($A23,[0]!Data,203,FALSE)/'Table 9'!$N23</f>
        <v>2.225633819919683E-2</v>
      </c>
      <c r="F23" s="248">
        <f>VLOOKUP($A23,[0]!Data,206,FALSE)/'Table 9'!$N23</f>
        <v>2.3158387759881346E-3</v>
      </c>
      <c r="G23" s="461">
        <f>VLOOKUP($A23,[0]!Data,204,FALSE)/'Table 9'!$N23</f>
        <v>0.25434328189916128</v>
      </c>
      <c r="H23" s="248">
        <f>VLOOKUP($A23,[0]!Data,207,FALSE)/'Table 9'!$N23</f>
        <v>5.9075572671367732E-2</v>
      </c>
      <c r="I23" s="443">
        <f>'Table 9'!M23/'Table 1'!D23</f>
        <v>0.69344483665395273</v>
      </c>
      <c r="J23" s="444">
        <f>'Table 9'!N23/'Table 1'!D23</f>
        <v>2.7313496481959678</v>
      </c>
      <c r="K23" s="159">
        <f>'Table 6'!L23/'Table 9'!N23</f>
        <v>5.7016557813570641</v>
      </c>
    </row>
    <row r="24" spans="1:11" x14ac:dyDescent="0.25">
      <c r="A24" s="40" t="s">
        <v>1037</v>
      </c>
      <c r="B24" s="40" t="s">
        <v>1943</v>
      </c>
      <c r="C24" s="248">
        <f>VLOOKUP($A24,[0]!Data,202,FALSE)/'Table 9'!$N24</f>
        <v>0.3298912210816608</v>
      </c>
      <c r="D24" s="248">
        <f>VLOOKUP($A24,[0]!Data,205,FALSE)/'Table 9'!$N24</f>
        <v>9.4116745825034473E-2</v>
      </c>
      <c r="E24" s="248">
        <f>VLOOKUP($A24,[0]!Data,203,FALSE)/'Table 9'!$N24</f>
        <v>1.5887850467289719E-2</v>
      </c>
      <c r="F24" s="248">
        <f>VLOOKUP($A24,[0]!Data,206,FALSE)/'Table 9'!$N24</f>
        <v>0</v>
      </c>
      <c r="G24" s="461">
        <f>VLOOKUP($A24,[0]!Data,204,FALSE)/'Table 9'!$N24</f>
        <v>0.18152290485674888</v>
      </c>
      <c r="H24" s="248">
        <f>VLOOKUP($A24,[0]!Data,207,FALSE)/'Table 9'!$N24</f>
        <v>4.9670599050099587E-2</v>
      </c>
      <c r="I24" s="443">
        <f>'Table 9'!M24/'Table 1'!D24</f>
        <v>0.11243854556437405</v>
      </c>
      <c r="J24" s="444">
        <f>'Table 9'!N24/'Table 1'!D24</f>
        <v>1.0951893551688843</v>
      </c>
      <c r="K24" s="159">
        <f>'Table 6'!L24/'Table 9'!N24</f>
        <v>8.9292324191818597</v>
      </c>
    </row>
    <row r="25" spans="1:11" x14ac:dyDescent="0.25">
      <c r="A25" s="40" t="s">
        <v>1053</v>
      </c>
      <c r="B25" s="40" t="s">
        <v>1944</v>
      </c>
      <c r="C25" s="248">
        <f>VLOOKUP($A25,[0]!Data,202,FALSE)/'Table 9'!$N25</f>
        <v>0.15765605063530538</v>
      </c>
      <c r="D25" s="248">
        <f>VLOOKUP($A25,[0]!Data,205,FALSE)/'Table 9'!$N25</f>
        <v>0.11005336175061194</v>
      </c>
      <c r="E25" s="248">
        <f>VLOOKUP($A25,[0]!Data,203,FALSE)/'Table 9'!$N25</f>
        <v>2.3169494232176353E-2</v>
      </c>
      <c r="F25" s="248">
        <f>VLOOKUP($A25,[0]!Data,206,FALSE)/'Table 9'!$N25</f>
        <v>1.6703857989433454E-3</v>
      </c>
      <c r="G25" s="461">
        <f>VLOOKUP($A25,[0]!Data,204,FALSE)/'Table 9'!$N25</f>
        <v>0.28831480490178218</v>
      </c>
      <c r="H25" s="248">
        <f>VLOOKUP($A25,[0]!Data,207,FALSE)/'Table 9'!$N25</f>
        <v>5.2132767236103349E-2</v>
      </c>
      <c r="I25" s="443">
        <f>'Table 9'!M25/'Table 1'!D25</f>
        <v>1.5768970371363453</v>
      </c>
      <c r="J25" s="444">
        <f>'Table 9'!N25/'Table 1'!D25</f>
        <v>10.13691848773294</v>
      </c>
      <c r="K25" s="159">
        <f>'Table 6'!L25/'Table 9'!N25</f>
        <v>3.6033875238844999</v>
      </c>
    </row>
    <row r="26" spans="1:11" x14ac:dyDescent="0.25">
      <c r="A26" s="40" t="s">
        <v>1086</v>
      </c>
      <c r="B26" s="40" t="s">
        <v>1945</v>
      </c>
      <c r="C26" s="248">
        <f>VLOOKUP($A26,[0]!Data,202,FALSE)/'Table 9'!$N26</f>
        <v>0.37951883910386963</v>
      </c>
      <c r="D26" s="248">
        <f>VLOOKUP($A26,[0]!Data,205,FALSE)/'Table 9'!$N26</f>
        <v>9.1824719959266804E-2</v>
      </c>
      <c r="E26" s="248">
        <f>VLOOKUP($A26,[0]!Data,203,FALSE)/'Table 9'!$N26</f>
        <v>2.0096104887983707E-2</v>
      </c>
      <c r="F26" s="248">
        <f>VLOOKUP($A26,[0]!Data,206,FALSE)/'Table 9'!$N26</f>
        <v>3.4257255600814662E-2</v>
      </c>
      <c r="G26" s="461">
        <f>VLOOKUP($A26,[0]!Data,204,FALSE)/'Table 9'!$N26</f>
        <v>0.18668851832993891</v>
      </c>
      <c r="H26" s="248">
        <f>VLOOKUP($A26,[0]!Data,207,FALSE)/'Table 9'!$N26</f>
        <v>3.8457866598778007E-2</v>
      </c>
      <c r="I26" s="443">
        <f>'Table 9'!M26/'Table 1'!D26</f>
        <v>0.21804792344211432</v>
      </c>
      <c r="J26" s="444">
        <f>'Table 9'!N26/'Table 1'!D26</f>
        <v>1.1746850585024859</v>
      </c>
      <c r="K26" s="159">
        <f>'Table 6'!L26/'Table 9'!N26</f>
        <v>11.200404149694501</v>
      </c>
    </row>
    <row r="27" spans="1:11" x14ac:dyDescent="0.25">
      <c r="A27" s="40" t="s">
        <v>1132</v>
      </c>
      <c r="B27" s="40" t="s">
        <v>1946</v>
      </c>
      <c r="C27" s="248">
        <f>VLOOKUP($A27,[0]!Data,202,FALSE)/'Table 9'!$N27</f>
        <v>0.23168547860371166</v>
      </c>
      <c r="D27" s="248">
        <f>VLOOKUP($A27,[0]!Data,205,FALSE)/'Table 9'!$N27</f>
        <v>4.9595582611709869E-2</v>
      </c>
      <c r="E27" s="248">
        <f>VLOOKUP($A27,[0]!Data,203,FALSE)/'Table 9'!$N27</f>
        <v>1.8794488966125719E-2</v>
      </c>
      <c r="F27" s="248">
        <f>VLOOKUP($A27,[0]!Data,206,FALSE)/'Table 9'!$N27</f>
        <v>1.1242378824546191E-3</v>
      </c>
      <c r="G27" s="461">
        <f>VLOOKUP($A27,[0]!Data,204,FALSE)/'Table 9'!$N27</f>
        <v>0.1906423626559931</v>
      </c>
      <c r="H27" s="248">
        <f>VLOOKUP($A27,[0]!Data,207,FALSE)/'Table 9'!$N27</f>
        <v>4.2293561600733283E-2</v>
      </c>
      <c r="I27" s="443">
        <f>'Table 9'!M27/'Table 1'!D27</f>
        <v>1.1402686982035313</v>
      </c>
      <c r="J27" s="444">
        <f>'Table 9'!N27/'Table 1'!D27</f>
        <v>4.6581588835939129</v>
      </c>
      <c r="K27" s="159">
        <f>'Table 6'!L27/'Table 9'!N27</f>
        <v>4.4485930159993066</v>
      </c>
    </row>
    <row r="28" spans="1:11" x14ac:dyDescent="0.25">
      <c r="A28" s="40" t="s">
        <v>1146</v>
      </c>
      <c r="B28" s="40" t="s">
        <v>1947</v>
      </c>
      <c r="C28" s="248">
        <f>VLOOKUP($A28,[0]!Data,202,FALSE)/'Table 9'!$N28</f>
        <v>0.20712882218031031</v>
      </c>
      <c r="D28" s="248">
        <f>VLOOKUP($A28,[0]!Data,205,FALSE)/'Table 9'!$N28</f>
        <v>4.9910955438289821E-2</v>
      </c>
      <c r="E28" s="248">
        <f>VLOOKUP($A28,[0]!Data,203,FALSE)/'Table 9'!$N28</f>
        <v>2.9295989380368138E-2</v>
      </c>
      <c r="F28" s="248">
        <f>VLOOKUP($A28,[0]!Data,206,FALSE)/'Table 9'!$N28</f>
        <v>5.1718132889972462E-3</v>
      </c>
      <c r="G28" s="461">
        <f>VLOOKUP($A28,[0]!Data,204,FALSE)/'Table 9'!$N28</f>
        <v>0.28456801887350414</v>
      </c>
      <c r="H28" s="248">
        <f>VLOOKUP($A28,[0]!Data,207,FALSE)/'Table 9'!$N28</f>
        <v>6.5689257480071761E-2</v>
      </c>
      <c r="I28" s="443">
        <f>'Table 9'!M28/'Table 1'!D28</f>
        <v>0.18112919245167697</v>
      </c>
      <c r="J28" s="444">
        <f>'Table 9'!N28/'Table 1'!D28</f>
        <v>2.3251738100695238</v>
      </c>
      <c r="K28" s="159">
        <f>'Table 6'!L28/'Table 9'!N28</f>
        <v>5.9828482430949395</v>
      </c>
    </row>
    <row r="29" spans="1:11" x14ac:dyDescent="0.25">
      <c r="A29" s="40" t="s">
        <v>1161</v>
      </c>
      <c r="B29" s="40" t="s">
        <v>1176</v>
      </c>
      <c r="C29" s="248">
        <f>VLOOKUP($A29,[0]!Data,202,FALSE)/'Table 9'!$N29</f>
        <v>0.21079259334909772</v>
      </c>
      <c r="D29" s="248">
        <f>VLOOKUP($A29,[0]!Data,205,FALSE)/'Table 9'!$N29</f>
        <v>7.6617095212282618E-2</v>
      </c>
      <c r="E29" s="248">
        <f>VLOOKUP($A29,[0]!Data,203,FALSE)/'Table 9'!$N29</f>
        <v>3.4227784280812384E-2</v>
      </c>
      <c r="F29" s="248">
        <f>VLOOKUP($A29,[0]!Data,206,FALSE)/'Table 9'!$N29</f>
        <v>0</v>
      </c>
      <c r="G29" s="461">
        <f>VLOOKUP($A29,[0]!Data,204,FALSE)/'Table 9'!$N29</f>
        <v>0.24900686877574482</v>
      </c>
      <c r="H29" s="248">
        <f>VLOOKUP($A29,[0]!Data,207,FALSE)/'Table 9'!$N29</f>
        <v>5.5537661299262672E-2</v>
      </c>
      <c r="I29" s="443">
        <f>'Table 9'!M29/'Table 1'!D29</f>
        <v>0.96242298741214383</v>
      </c>
      <c r="J29" s="444">
        <f>'Table 9'!N29/'Table 1'!D29</f>
        <v>5.3430482293517647</v>
      </c>
      <c r="K29" s="159">
        <f>'Table 6'!L29/'Table 9'!N29</f>
        <v>3.3293450964063971</v>
      </c>
    </row>
    <row r="30" spans="1:11" x14ac:dyDescent="0.25">
      <c r="A30" s="40" t="s">
        <v>1187</v>
      </c>
      <c r="B30" s="40" t="s">
        <v>1948</v>
      </c>
      <c r="C30" s="248">
        <f>VLOOKUP($A30,[0]!Data,202,FALSE)/'Table 9'!$N30</f>
        <v>0.23512838691778923</v>
      </c>
      <c r="D30" s="248">
        <f>VLOOKUP($A30,[0]!Data,205,FALSE)/'Table 9'!$N30</f>
        <v>7.0922597947042323E-2</v>
      </c>
      <c r="E30" s="248">
        <f>VLOOKUP($A30,[0]!Data,203,FALSE)/'Table 9'!$N30</f>
        <v>3.4974260966061467E-2</v>
      </c>
      <c r="F30" s="248">
        <f>VLOOKUP($A30,[0]!Data,206,FALSE)/'Table 9'!$N30</f>
        <v>1.8248512684565826E-3</v>
      </c>
      <c r="G30" s="461">
        <f>VLOOKUP($A30,[0]!Data,204,FALSE)/'Table 9'!$N30</f>
        <v>0.20591843654634567</v>
      </c>
      <c r="H30" s="248">
        <f>VLOOKUP($A30,[0]!Data,207,FALSE)/'Table 9'!$N30</f>
        <v>3.4302271816528465E-2</v>
      </c>
      <c r="I30" s="443">
        <f>'Table 9'!M30/'Table 1'!D30</f>
        <v>0.57417596284892236</v>
      </c>
      <c r="J30" s="444">
        <f>'Table 9'!N30/'Table 1'!D30</f>
        <v>2.7292076792354414</v>
      </c>
      <c r="K30" s="159">
        <f>'Table 6'!L30/'Table 9'!N30</f>
        <v>6.237372460774945</v>
      </c>
    </row>
    <row r="31" spans="1:11" x14ac:dyDescent="0.25">
      <c r="A31" s="40" t="s">
        <v>1201</v>
      </c>
      <c r="B31" s="40" t="s">
        <v>1949</v>
      </c>
      <c r="C31" s="248">
        <f>VLOOKUP($A31,[0]!Data,202,FALSE)/'Table 9'!$N31</f>
        <v>0.11924458912588654</v>
      </c>
      <c r="D31" s="248">
        <f>VLOOKUP($A31,[0]!Data,205,FALSE)/'Table 9'!$N31</f>
        <v>4.8690506929345533E-2</v>
      </c>
      <c r="E31" s="248">
        <f>VLOOKUP($A31,[0]!Data,203,FALSE)/'Table 9'!$N31</f>
        <v>3.08288911357949E-2</v>
      </c>
      <c r="F31" s="248">
        <f>VLOOKUP($A31,[0]!Data,206,FALSE)/'Table 9'!$N31</f>
        <v>8.9334623561464004E-4</v>
      </c>
      <c r="G31" s="461">
        <f>VLOOKUP($A31,[0]!Data,204,FALSE)/'Table 9'!$N31</f>
        <v>0.24759638703948147</v>
      </c>
      <c r="H31" s="248">
        <f>VLOOKUP($A31,[0]!Data,207,FALSE)/'Table 9'!$N31</f>
        <v>5.6062664546316698E-2</v>
      </c>
      <c r="I31" s="443">
        <f>'Table 9'!M31/'Table 1'!D31</f>
        <v>1.6783090886365604</v>
      </c>
      <c r="J31" s="444">
        <f>'Table 9'!N31/'Table 1'!D31</f>
        <v>4.9803021853878029</v>
      </c>
      <c r="K31" s="159">
        <f>'Table 6'!L31/'Table 9'!N31</f>
        <v>3.9978484400224903</v>
      </c>
    </row>
    <row r="32" spans="1:11" x14ac:dyDescent="0.25">
      <c r="A32" s="40" t="s">
        <v>1218</v>
      </c>
      <c r="B32" s="40" t="s">
        <v>1950</v>
      </c>
      <c r="C32" s="248">
        <f>VLOOKUP($A32,[0]!Data,202,FALSE)/'Table 9'!$N32</f>
        <v>0.73795397894650105</v>
      </c>
      <c r="D32" s="248">
        <f>VLOOKUP($A32,[0]!Data,205,FALSE)/'Table 9'!$N32</f>
        <v>5.5754691716622375E-2</v>
      </c>
      <c r="E32" s="248">
        <f>VLOOKUP($A32,[0]!Data,203,FALSE)/'Table 9'!$N32</f>
        <v>1.1474362935953691E-2</v>
      </c>
      <c r="F32" s="248">
        <f>VLOOKUP($A32,[0]!Data,206,FALSE)/'Table 9'!$N32</f>
        <v>1.3802195991183075E-3</v>
      </c>
      <c r="G32" s="461">
        <f>VLOOKUP($A32,[0]!Data,204,FALSE)/'Table 9'!$N32</f>
        <v>0.11473332921327482</v>
      </c>
      <c r="H32" s="248">
        <f>VLOOKUP($A32,[0]!Data,207,FALSE)/'Table 9'!$N32</f>
        <v>1.9807181261973918E-2</v>
      </c>
      <c r="I32" s="443">
        <f>'Table 9'!M32/'Table 1'!D32</f>
        <v>0.12785018484038965</v>
      </c>
      <c r="J32" s="444">
        <f>'Table 9'!N32/'Table 1'!D32</f>
        <v>2.6197684772929652</v>
      </c>
      <c r="K32" s="159">
        <f>'Table 6'!L32/'Table 9'!N32</f>
        <v>5.7082483571266716</v>
      </c>
    </row>
    <row r="33" spans="1:11" x14ac:dyDescent="0.25">
      <c r="A33" s="40" t="s">
        <v>1232</v>
      </c>
      <c r="B33" s="40" t="s">
        <v>1951</v>
      </c>
      <c r="C33" s="248">
        <f>VLOOKUP($A33,[0]!Data,202,FALSE)/'Table 9'!$N33</f>
        <v>0.16506541383137305</v>
      </c>
      <c r="D33" s="248">
        <f>VLOOKUP($A33,[0]!Data,205,FALSE)/'Table 9'!$N33</f>
        <v>5.8823354389138653E-2</v>
      </c>
      <c r="E33" s="248">
        <f>VLOOKUP($A33,[0]!Data,203,FALSE)/'Table 9'!$N33</f>
        <v>1.579036629960338E-2</v>
      </c>
      <c r="F33" s="248">
        <f>VLOOKUP($A33,[0]!Data,206,FALSE)/'Table 9'!$N33</f>
        <v>1.681092323210083E-3</v>
      </c>
      <c r="G33" s="461">
        <f>VLOOKUP($A33,[0]!Data,204,FALSE)/'Table 9'!$N33</f>
        <v>0.28961203959641885</v>
      </c>
      <c r="H33" s="248">
        <f>VLOOKUP($A33,[0]!Data,207,FALSE)/'Table 9'!$N33</f>
        <v>6.289963134984275E-2</v>
      </c>
      <c r="I33" s="443">
        <f>'Table 9'!M33/'Table 1'!D33</f>
        <v>0.74871683374358422</v>
      </c>
      <c r="J33" s="444">
        <f>'Table 9'!N33/'Table 1'!D33</f>
        <v>2.6097466280487329</v>
      </c>
      <c r="K33" s="159">
        <f>'Table 6'!L33/'Table 9'!N33</f>
        <v>4.0979883424429691</v>
      </c>
    </row>
    <row r="34" spans="1:11" x14ac:dyDescent="0.25">
      <c r="A34" s="40" t="s">
        <v>1256</v>
      </c>
      <c r="B34" s="40" t="s">
        <v>1952</v>
      </c>
      <c r="C34" s="248">
        <f>VLOOKUP($A34,[0]!Data,202,FALSE)/'Table 9'!$N34</f>
        <v>0.28330242598323396</v>
      </c>
      <c r="D34" s="248">
        <f>VLOOKUP($A34,[0]!Data,205,FALSE)/'Table 9'!$N34</f>
        <v>0.11257685400225809</v>
      </c>
      <c r="E34" s="248">
        <f>VLOOKUP($A34,[0]!Data,203,FALSE)/'Table 9'!$N34</f>
        <v>2.1100847660888846E-2</v>
      </c>
      <c r="F34" s="248">
        <f>VLOOKUP($A34,[0]!Data,206,FALSE)/'Table 9'!$N34</f>
        <v>5.147975032321093E-4</v>
      </c>
      <c r="G34" s="461">
        <f>VLOOKUP($A34,[0]!Data,204,FALSE)/'Table 9'!$N34</f>
        <v>0.16844408304619723</v>
      </c>
      <c r="H34" s="248">
        <f>VLOOKUP($A34,[0]!Data,207,FALSE)/'Table 9'!$N34</f>
        <v>3.238251794478797E-2</v>
      </c>
      <c r="I34" s="443">
        <f>'Table 9'!M34/'Table 1'!D34</f>
        <v>0.766184779265351</v>
      </c>
      <c r="J34" s="444">
        <f>'Table 9'!N34/'Table 1'!D34</f>
        <v>5.5346683718897216</v>
      </c>
      <c r="K34" s="159">
        <f>'Table 6'!L34/'Table 9'!N34</f>
        <v>3.8708472513908307</v>
      </c>
    </row>
    <row r="35" spans="1:11" x14ac:dyDescent="0.25">
      <c r="A35" s="40" t="s">
        <v>1268</v>
      </c>
      <c r="B35" s="40" t="s">
        <v>1953</v>
      </c>
      <c r="C35" s="248">
        <f>VLOOKUP($A35,[0]!Data,202,FALSE)/'Table 9'!$N35</f>
        <v>0.22870642451965678</v>
      </c>
      <c r="D35" s="248">
        <f>VLOOKUP($A35,[0]!Data,205,FALSE)/'Table 9'!$N35</f>
        <v>9.1345680508326962E-2</v>
      </c>
      <c r="E35" s="248">
        <f>VLOOKUP($A35,[0]!Data,203,FALSE)/'Table 9'!$N35</f>
        <v>1.7976423989518407E-2</v>
      </c>
      <c r="F35" s="248">
        <f>VLOOKUP($A35,[0]!Data,206,FALSE)/'Table 9'!$N35</f>
        <v>2.7339992880999085E-3</v>
      </c>
      <c r="G35" s="461">
        <f>VLOOKUP($A35,[0]!Data,204,FALSE)/'Table 9'!$N35</f>
        <v>0.14852773002325034</v>
      </c>
      <c r="H35" s="248">
        <f>VLOOKUP($A35,[0]!Data,207,FALSE)/'Table 9'!$N35</f>
        <v>3.6655281314137277E-2</v>
      </c>
      <c r="I35" s="443">
        <f>'Table 9'!M35/'Table 1'!D35</f>
        <v>2.112951873060279</v>
      </c>
      <c r="J35" s="444">
        <f>'Table 9'!N35/'Table 1'!D35</f>
        <v>9.2348472264720023</v>
      </c>
      <c r="K35" s="159">
        <f>'Table 6'!L35/'Table 9'!N35</f>
        <v>2.7835984656281005</v>
      </c>
    </row>
    <row r="36" spans="1:11" x14ac:dyDescent="0.25">
      <c r="A36" s="40" t="s">
        <v>1328</v>
      </c>
      <c r="B36" s="40" t="s">
        <v>1954</v>
      </c>
      <c r="C36" s="248">
        <f>VLOOKUP($A36,[0]!Data,202,FALSE)/'Table 9'!$N36</f>
        <v>0.31415680495845172</v>
      </c>
      <c r="D36" s="248">
        <f>VLOOKUP($A36,[0]!Data,205,FALSE)/'Table 9'!$N36</f>
        <v>0.11957606048176786</v>
      </c>
      <c r="E36" s="248">
        <f>VLOOKUP($A36,[0]!Data,203,FALSE)/'Table 9'!$N36</f>
        <v>3.1638486740496553E-2</v>
      </c>
      <c r="F36" s="248">
        <f>VLOOKUP($A36,[0]!Data,206,FALSE)/'Table 9'!$N36</f>
        <v>4.5675280153533761E-3</v>
      </c>
      <c r="G36" s="461">
        <f>VLOOKUP($A36,[0]!Data,204,FALSE)/'Table 9'!$N36</f>
        <v>0.23166532476542048</v>
      </c>
      <c r="H36" s="248">
        <f>VLOOKUP($A36,[0]!Data,207,FALSE)/'Table 9'!$N36</f>
        <v>9.0479590441612107E-2</v>
      </c>
      <c r="I36" s="443">
        <f>'Table 9'!M36/'Table 1'!D36</f>
        <v>0.46162608041809666</v>
      </c>
      <c r="J36" s="444">
        <f>'Table 9'!N36/'Table 1'!D36</f>
        <v>2.940389955554894</v>
      </c>
      <c r="K36" s="159">
        <f>'Table 6'!L36/'Table 9'!N36</f>
        <v>5.3774793524440323</v>
      </c>
    </row>
    <row r="37" spans="1:11" x14ac:dyDescent="0.25">
      <c r="A37" s="40" t="s">
        <v>1585</v>
      </c>
      <c r="B37" s="40" t="s">
        <v>1316</v>
      </c>
      <c r="C37" s="248">
        <f>VLOOKUP($A37,[0]!Data,202,FALSE)/'Table 9'!$N37</f>
        <v>0.26045488126983724</v>
      </c>
      <c r="D37" s="248">
        <f>VLOOKUP($A37,[0]!Data,205,FALSE)/'Table 9'!$N37</f>
        <v>6.4550905418559887E-2</v>
      </c>
      <c r="E37" s="248">
        <f>VLOOKUP($A37,[0]!Data,203,FALSE)/'Table 9'!$N37</f>
        <v>4.2884909902054354E-2</v>
      </c>
      <c r="F37" s="248">
        <f>VLOOKUP($A37,[0]!Data,206,FALSE)/'Table 9'!$N37</f>
        <v>5.3935106649459852E-3</v>
      </c>
      <c r="G37" s="461">
        <f>VLOOKUP($A37,[0]!Data,204,FALSE)/'Table 9'!$N37</f>
        <v>0.24015232466334158</v>
      </c>
      <c r="H37" s="248">
        <f>VLOOKUP($A37,[0]!Data,207,FALSE)/'Table 9'!$N37</f>
        <v>7.0229787018159101E-2</v>
      </c>
      <c r="I37" s="443">
        <f>'Table 9'!M37/'Table 1'!D37</f>
        <v>0.35636023595419714</v>
      </c>
      <c r="J37" s="444">
        <f>'Table 9'!N37/'Table 1'!D37</f>
        <v>1.8548105367781549</v>
      </c>
      <c r="K37" s="159">
        <f>'Table 6'!L37/'Table 9'!N37</f>
        <v>4.6346586170924509</v>
      </c>
    </row>
    <row r="38" spans="1:11" x14ac:dyDescent="0.25">
      <c r="A38" s="40" t="s">
        <v>1352</v>
      </c>
      <c r="B38" s="40" t="s">
        <v>1955</v>
      </c>
      <c r="C38" s="248">
        <f>VLOOKUP($A38,[0]!Data,202,FALSE)/'Table 9'!$N38</f>
        <v>0.26032047078008402</v>
      </c>
      <c r="D38" s="248">
        <f>VLOOKUP($A38,[0]!Data,205,FALSE)/'Table 9'!$N38</f>
        <v>7.3178297321729271E-2</v>
      </c>
      <c r="E38" s="248">
        <f>VLOOKUP($A38,[0]!Data,203,FALSE)/'Table 9'!$N38</f>
        <v>1.6342591771983623E-2</v>
      </c>
      <c r="F38" s="248">
        <f>VLOOKUP($A38,[0]!Data,206,FALSE)/'Table 9'!$N38</f>
        <v>2.915787794459117E-3</v>
      </c>
      <c r="G38" s="461">
        <f>VLOOKUP($A38,[0]!Data,204,FALSE)/'Table 9'!$N38</f>
        <v>0.16840668592800043</v>
      </c>
      <c r="H38" s="248">
        <f>VLOOKUP($A38,[0]!Data,207,FALSE)/'Table 9'!$N38</f>
        <v>6.7453072655405288E-2</v>
      </c>
      <c r="I38" s="443">
        <f>'Table 9'!M38/'Table 1'!D38</f>
        <v>0.35794342043076094</v>
      </c>
      <c r="J38" s="444">
        <f>'Table 9'!N38/'Table 1'!D38</f>
        <v>1.9045641752751334</v>
      </c>
      <c r="K38" s="159">
        <f>'Table 6'!L38/'Table 9'!N38</f>
        <v>5.360520765017637</v>
      </c>
    </row>
    <row r="39" spans="1:11" x14ac:dyDescent="0.25">
      <c r="A39" s="40" t="s">
        <v>1365</v>
      </c>
      <c r="B39" s="40" t="s">
        <v>1956</v>
      </c>
      <c r="C39" s="248">
        <f>VLOOKUP($A39,[0]!Data,202,FALSE)/'Table 9'!$N39</f>
        <v>0.23185856171047564</v>
      </c>
      <c r="D39" s="248">
        <f>VLOOKUP($A39,[0]!Data,205,FALSE)/'Table 9'!$N39</f>
        <v>6.7307883230810162E-2</v>
      </c>
      <c r="E39" s="248">
        <f>VLOOKUP($A39,[0]!Data,203,FALSE)/'Table 9'!$N39</f>
        <v>2.4768379710340609E-2</v>
      </c>
      <c r="F39" s="248">
        <f>VLOOKUP($A39,[0]!Data,206,FALSE)/'Table 9'!$N39</f>
        <v>0</v>
      </c>
      <c r="G39" s="461">
        <f>VLOOKUP($A39,[0]!Data,204,FALSE)/'Table 9'!$N39</f>
        <v>0.25249689253533375</v>
      </c>
      <c r="H39" s="248">
        <f>VLOOKUP($A39,[0]!Data,207,FALSE)/'Table 9'!$N39</f>
        <v>5.9210604694753644E-2</v>
      </c>
      <c r="I39" s="443">
        <f>'Table 9'!M39/'Table 1'!D39</f>
        <v>0.61838528397108483</v>
      </c>
      <c r="J39" s="444">
        <f>'Table 9'!N39/'Table 1'!D39</f>
        <v>3.0696548949812881</v>
      </c>
      <c r="K39" s="159">
        <f>'Table 6'!L39/'Table 9'!N39</f>
        <v>5.2719041510962503</v>
      </c>
    </row>
    <row r="40" spans="1:11" x14ac:dyDescent="0.25">
      <c r="A40" s="40" t="s">
        <v>1383</v>
      </c>
      <c r="B40" s="40" t="s">
        <v>1957</v>
      </c>
      <c r="C40" s="248">
        <f>VLOOKUP($A40,[0]!Data,202,FALSE)/'Table 9'!$N40</f>
        <v>0.24711979609175871</v>
      </c>
      <c r="D40" s="248">
        <f>VLOOKUP($A40,[0]!Data,205,FALSE)/'Table 9'!$N40</f>
        <v>7.7697536108751061E-2</v>
      </c>
      <c r="E40" s="248">
        <f>VLOOKUP($A40,[0]!Data,203,FALSE)/'Table 9'!$N40</f>
        <v>2.5615972812234496E-2</v>
      </c>
      <c r="F40" s="248">
        <f>VLOOKUP($A40,[0]!Data,206,FALSE)/'Table 9'!$N40</f>
        <v>2.0475785896346644E-3</v>
      </c>
      <c r="G40" s="461">
        <f>VLOOKUP($A40,[0]!Data,204,FALSE)/'Table 9'!$N40</f>
        <v>0.19982158028887001</v>
      </c>
      <c r="H40" s="248">
        <f>VLOOKUP($A40,[0]!Data,207,FALSE)/'Table 9'!$N40</f>
        <v>3.5548003398470689E-2</v>
      </c>
      <c r="I40" s="443">
        <f>'Table 9'!M40/'Table 1'!D40</f>
        <v>0.70194276354702212</v>
      </c>
      <c r="J40" s="444">
        <f>'Table 9'!N40/'Table 1'!D40</f>
        <v>5.3551116975294599</v>
      </c>
      <c r="K40" s="159">
        <f>'Table 6'!L40/'Table 9'!N40</f>
        <v>4.3480968564146139</v>
      </c>
    </row>
    <row r="41" spans="1:11" x14ac:dyDescent="0.25">
      <c r="A41" s="40" t="s">
        <v>1397</v>
      </c>
      <c r="B41" s="40" t="s">
        <v>1958</v>
      </c>
      <c r="C41" s="248">
        <f>VLOOKUP($A41,[0]!Data,202,FALSE)/'Table 9'!$N41</f>
        <v>0.27248086830091367</v>
      </c>
      <c r="D41" s="248">
        <f>VLOOKUP($A41,[0]!Data,205,FALSE)/'Table 9'!$N41</f>
        <v>9.0719256152359526E-2</v>
      </c>
      <c r="E41" s="248">
        <f>VLOOKUP($A41,[0]!Data,203,FALSE)/'Table 9'!$N41</f>
        <v>2.6865153681842387E-2</v>
      </c>
      <c r="F41" s="248">
        <f>VLOOKUP($A41,[0]!Data,206,FALSE)/'Table 9'!$N41</f>
        <v>3.4523816646821956E-3</v>
      </c>
      <c r="G41" s="461">
        <f>VLOOKUP($A41,[0]!Data,204,FALSE)/'Table 9'!$N41</f>
        <v>0.15541102488467132</v>
      </c>
      <c r="H41" s="248">
        <f>VLOOKUP($A41,[0]!Data,207,FALSE)/'Table 9'!$N41</f>
        <v>2.9976485511365336E-2</v>
      </c>
      <c r="I41" s="443">
        <f>'Table 9'!M41/'Table 1'!D41</f>
        <v>0.35789936277741158</v>
      </c>
      <c r="J41" s="444">
        <f>'Table 9'!N41/'Table 1'!D41</f>
        <v>3.6724016699626456</v>
      </c>
      <c r="K41" s="159">
        <f>'Table 6'!L41/'Table 9'!N41</f>
        <v>4.5450574698888895</v>
      </c>
    </row>
    <row r="42" spans="1:11" x14ac:dyDescent="0.25">
      <c r="A42" s="40" t="s">
        <v>915</v>
      </c>
      <c r="B42" s="40" t="s">
        <v>1959</v>
      </c>
      <c r="C42" s="248">
        <f>VLOOKUP($A42,[0]!Data,202,FALSE)/'Table 9'!$N42</f>
        <v>9.8115437777253095E-2</v>
      </c>
      <c r="D42" s="248">
        <f>VLOOKUP($A42,[0]!Data,205,FALSE)/'Table 9'!$N42</f>
        <v>6.8631504374720279E-2</v>
      </c>
      <c r="E42" s="248">
        <f>VLOOKUP($A42,[0]!Data,203,FALSE)/'Table 9'!$N42</f>
        <v>2.1495452148402754E-2</v>
      </c>
      <c r="F42" s="248">
        <f>VLOOKUP($A42,[0]!Data,206,FALSE)/'Table 9'!$N42</f>
        <v>2.8131849443734651E-3</v>
      </c>
      <c r="G42" s="461">
        <f>VLOOKUP($A42,[0]!Data,204,FALSE)/'Table 9'!$N42</f>
        <v>0.22018836186968635</v>
      </c>
      <c r="H42" s="248">
        <f>VLOOKUP($A42,[0]!Data,207,FALSE)/'Table 9'!$N42</f>
        <v>4.6795700841363627E-2</v>
      </c>
      <c r="I42" s="443">
        <f>'Table 9'!M42/'Table 1'!D42</f>
        <v>3.7945868472632873</v>
      </c>
      <c r="J42" s="444">
        <f>'Table 9'!N42/'Table 1'!D42</f>
        <v>8.3497059926248998</v>
      </c>
      <c r="K42" s="159">
        <f>'Table 6'!L42/'Table 9'!N42</f>
        <v>4.4852009101955472</v>
      </c>
    </row>
    <row r="43" spans="1:11" x14ac:dyDescent="0.25">
      <c r="A43" s="40" t="s">
        <v>789</v>
      </c>
      <c r="B43" s="40" t="s">
        <v>1960</v>
      </c>
      <c r="C43" s="248">
        <f>VLOOKUP($A43,[0]!Data,202,FALSE)/'Table 9'!$N43</f>
        <v>0.22745768629891089</v>
      </c>
      <c r="D43" s="248">
        <f>VLOOKUP($A43,[0]!Data,205,FALSE)/'Table 9'!$N43</f>
        <v>7.6977138738803269E-2</v>
      </c>
      <c r="E43" s="248">
        <f>VLOOKUP($A43,[0]!Data,203,FALSE)/'Table 9'!$N43</f>
        <v>3.7920059447336729E-2</v>
      </c>
      <c r="F43" s="248">
        <f>VLOOKUP($A43,[0]!Data,206,FALSE)/'Table 9'!$N43</f>
        <v>3.2140954649023459E-3</v>
      </c>
      <c r="G43" s="461">
        <f>VLOOKUP($A43,[0]!Data,204,FALSE)/'Table 9'!$N43</f>
        <v>0.30546440993594193</v>
      </c>
      <c r="H43" s="248">
        <f>VLOOKUP($A43,[0]!Data,207,FALSE)/'Table 9'!$N43</f>
        <v>5.6698792699795428E-2</v>
      </c>
      <c r="I43" s="443">
        <f>'Table 9'!M43/'Table 1'!D43</f>
        <v>0.33479089584034083</v>
      </c>
      <c r="J43" s="444">
        <f>'Table 9'!N43/'Table 1'!D43</f>
        <v>2.504664200022424</v>
      </c>
      <c r="K43" s="159">
        <f>'Table 6'!L43/'Table 9'!N43</f>
        <v>9.20271183709281</v>
      </c>
    </row>
    <row r="44" spans="1:11" x14ac:dyDescent="0.25">
      <c r="A44" s="40" t="s">
        <v>1456</v>
      </c>
      <c r="B44" s="40" t="s">
        <v>1961</v>
      </c>
      <c r="C44" s="248">
        <f>VLOOKUP($A44,[0]!Data,202,FALSE)/'Table 9'!$N44</f>
        <v>0.20005929660366509</v>
      </c>
      <c r="D44" s="248">
        <f>VLOOKUP($A44,[0]!Data,205,FALSE)/'Table 9'!$N44</f>
        <v>8.5645088007967815E-2</v>
      </c>
      <c r="E44" s="248">
        <f>VLOOKUP($A44,[0]!Data,203,FALSE)/'Table 9'!$N44</f>
        <v>1.867971363077468E-2</v>
      </c>
      <c r="F44" s="248">
        <f>VLOOKUP($A44,[0]!Data,206,FALSE)/'Table 9'!$N44</f>
        <v>6.7254156537899766E-4</v>
      </c>
      <c r="G44" s="461">
        <f>VLOOKUP($A44,[0]!Data,204,FALSE)/'Table 9'!$N44</f>
        <v>0.20882094735950427</v>
      </c>
      <c r="H44" s="248">
        <f>VLOOKUP($A44,[0]!Data,207,FALSE)/'Table 9'!$N44</f>
        <v>3.7005187811082564E-2</v>
      </c>
      <c r="I44" s="443">
        <f>'Table 9'!M44/'Table 1'!D44</f>
        <v>1.847702228900576</v>
      </c>
      <c r="J44" s="444">
        <f>'Table 9'!N44/'Table 1'!D44</f>
        <v>6.9687488819720222</v>
      </c>
      <c r="K44" s="159">
        <f>'Table 6'!L44/'Table 9'!N44</f>
        <v>2.6723695795588434</v>
      </c>
    </row>
    <row r="45" spans="1:11" x14ac:dyDescent="0.25">
      <c r="A45" s="40" t="s">
        <v>1489</v>
      </c>
      <c r="B45" s="40" t="s">
        <v>1962</v>
      </c>
      <c r="C45" s="248">
        <f>VLOOKUP($A45,[0]!Data,202,FALSE)/'Table 9'!$N45</f>
        <v>0.15068454426699757</v>
      </c>
      <c r="D45" s="248">
        <f>VLOOKUP($A45,[0]!Data,205,FALSE)/'Table 9'!$N45</f>
        <v>4.9449061634276904E-2</v>
      </c>
      <c r="E45" s="248">
        <f>VLOOKUP($A45,[0]!Data,203,FALSE)/'Table 9'!$N45</f>
        <v>2.5890978774813056E-2</v>
      </c>
      <c r="F45" s="248">
        <f>VLOOKUP($A45,[0]!Data,206,FALSE)/'Table 9'!$N45</f>
        <v>4.396497085367922E-3</v>
      </c>
      <c r="G45" s="461">
        <f>VLOOKUP($A45,[0]!Data,204,FALSE)/'Table 9'!$N45</f>
        <v>0.24101730925451478</v>
      </c>
      <c r="H45" s="248">
        <f>VLOOKUP($A45,[0]!Data,207,FALSE)/'Table 9'!$N45</f>
        <v>5.629450430425248E-2</v>
      </c>
      <c r="I45" s="443">
        <f>'Table 9'!M45/'Table 1'!D45</f>
        <v>0.98429716265973577</v>
      </c>
      <c r="J45" s="444">
        <f>'Table 9'!N45/'Table 1'!D45</f>
        <v>3.4661035304310159</v>
      </c>
      <c r="K45" s="159">
        <f>'Table 6'!L45/'Table 9'!N45</f>
        <v>3.3119816820060524</v>
      </c>
    </row>
    <row r="46" spans="1:11" x14ac:dyDescent="0.25">
      <c r="A46" s="40" t="s">
        <v>1501</v>
      </c>
      <c r="B46" s="40" t="s">
        <v>1516</v>
      </c>
      <c r="C46" s="248">
        <f>VLOOKUP($A46,[0]!Data,202,FALSE)/'Table 9'!$N46</f>
        <v>0.1495187450892356</v>
      </c>
      <c r="D46" s="248">
        <f>VLOOKUP($A46,[0]!Data,205,FALSE)/'Table 9'!$N46</f>
        <v>9.7937011262019674E-2</v>
      </c>
      <c r="E46" s="248">
        <f>VLOOKUP($A46,[0]!Data,203,FALSE)/'Table 9'!$N46</f>
        <v>2.413991469300707E-2</v>
      </c>
      <c r="F46" s="248">
        <f>VLOOKUP($A46,[0]!Data,206,FALSE)/'Table 9'!$N46</f>
        <v>1.4252909043289557E-2</v>
      </c>
      <c r="G46" s="461">
        <f>VLOOKUP($A46,[0]!Data,204,FALSE)/'Table 9'!$N46</f>
        <v>0.31487821304299024</v>
      </c>
      <c r="H46" s="248">
        <f>VLOOKUP($A46,[0]!Data,207,FALSE)/'Table 9'!$N46</f>
        <v>0.12999027200957833</v>
      </c>
      <c r="I46" s="443">
        <f>'Table 9'!M46/'Table 1'!D46</f>
        <v>0.30656717481969081</v>
      </c>
      <c r="J46" s="444">
        <f>'Table 9'!N46/'Table 1'!D46</f>
        <v>5.0811183327194307</v>
      </c>
      <c r="K46" s="159">
        <f>'Table 6'!L46/'Table 9'!N46</f>
        <v>5.3963103790174731</v>
      </c>
    </row>
    <row r="47" spans="1:11" x14ac:dyDescent="0.25">
      <c r="A47" s="40" t="s">
        <v>1518</v>
      </c>
      <c r="B47" s="40" t="s">
        <v>1963</v>
      </c>
      <c r="C47" s="248">
        <f>VLOOKUP($A47,[0]!Data,202,FALSE)/'Table 9'!$N47</f>
        <v>0.24728750574812641</v>
      </c>
      <c r="D47" s="248">
        <f>VLOOKUP($A47,[0]!Data,205,FALSE)/'Table 9'!$N47</f>
        <v>9.8436923892734784E-2</v>
      </c>
      <c r="E47" s="248">
        <f>VLOOKUP($A47,[0]!Data,203,FALSE)/'Table 9'!$N47</f>
        <v>3.5814452550511015E-2</v>
      </c>
      <c r="F47" s="248">
        <f>VLOOKUP($A47,[0]!Data,206,FALSE)/'Table 9'!$N47</f>
        <v>0</v>
      </c>
      <c r="G47" s="461">
        <f>VLOOKUP($A47,[0]!Data,204,FALSE)/'Table 9'!$N47</f>
        <v>0.26741734090636043</v>
      </c>
      <c r="H47" s="248">
        <f>VLOOKUP($A47,[0]!Data,207,FALSE)/'Table 9'!$N47</f>
        <v>7.5610129959442052E-2</v>
      </c>
      <c r="I47" s="443">
        <f>'Table 9'!M47/'Table 1'!D47</f>
        <v>0.6147933870398089</v>
      </c>
      <c r="J47" s="444">
        <f>'Table 9'!N47/'Table 1'!D47</f>
        <v>4.0596545518760827</v>
      </c>
      <c r="K47" s="159">
        <f>'Table 6'!L47/'Table 9'!N47</f>
        <v>3.2808275644929425</v>
      </c>
    </row>
    <row r="48" spans="1:11" x14ac:dyDescent="0.25">
      <c r="A48" s="40" t="s">
        <v>1544</v>
      </c>
      <c r="B48" s="40" t="s">
        <v>1964</v>
      </c>
      <c r="C48" s="248">
        <f>VLOOKUP($A48,[0]!Data,202,FALSE)/'Table 9'!$N48</f>
        <v>0.21632676425742728</v>
      </c>
      <c r="D48" s="248">
        <f>VLOOKUP($A48,[0]!Data,205,FALSE)/'Table 9'!$N48</f>
        <v>3.8540197644707876E-2</v>
      </c>
      <c r="E48" s="248">
        <f>VLOOKUP($A48,[0]!Data,203,FALSE)/'Table 9'!$N48</f>
        <v>1.3389674391011797E-2</v>
      </c>
      <c r="F48" s="248">
        <f>VLOOKUP($A48,[0]!Data,206,FALSE)/'Table 9'!$N48</f>
        <v>2.4146167576484549E-3</v>
      </c>
      <c r="G48" s="461">
        <f>VLOOKUP($A48,[0]!Data,204,FALSE)/'Table 9'!$N48</f>
        <v>0.34142889109766189</v>
      </c>
      <c r="H48" s="248">
        <f>VLOOKUP($A48,[0]!Data,207,FALSE)/'Table 9'!$N48</f>
        <v>6.9487882682930643E-2</v>
      </c>
      <c r="I48" s="443">
        <f>'Table 9'!M48/'Table 1'!D48</f>
        <v>0.23562726540475232</v>
      </c>
      <c r="J48" s="444">
        <f>'Table 9'!N48/'Table 1'!D48</f>
        <v>4.8369663713250102</v>
      </c>
      <c r="K48" s="159">
        <f>'Table 6'!L48/'Table 9'!N48</f>
        <v>2.8494403188959372</v>
      </c>
    </row>
    <row r="49" spans="1:11" x14ac:dyDescent="0.25">
      <c r="A49" s="40" t="s">
        <v>1727</v>
      </c>
      <c r="B49" s="40" t="s">
        <v>1965</v>
      </c>
      <c r="C49" s="248">
        <f>VLOOKUP($A49,[0]!Data,202,FALSE)/'Table 9'!$N49</f>
        <v>0.11608467620878098</v>
      </c>
      <c r="D49" s="248">
        <f>VLOOKUP($A49,[0]!Data,205,FALSE)/'Table 9'!$N49</f>
        <v>4.9560816257183372E-2</v>
      </c>
      <c r="E49" s="248">
        <f>VLOOKUP($A49,[0]!Data,203,FALSE)/'Table 9'!$N49</f>
        <v>1.7381038112788988E-2</v>
      </c>
      <c r="F49" s="248">
        <f>VLOOKUP($A49,[0]!Data,206,FALSE)/'Table 9'!$N49</f>
        <v>1.7453438993569837E-3</v>
      </c>
      <c r="G49" s="461">
        <f>VLOOKUP($A49,[0]!Data,204,FALSE)/'Table 9'!$N49</f>
        <v>0.17954549623081015</v>
      </c>
      <c r="H49" s="248">
        <f>VLOOKUP($A49,[0]!Data,207,FALSE)/'Table 9'!$N49</f>
        <v>3.8843555211463668E-2</v>
      </c>
      <c r="I49" s="443">
        <f>'Table 9'!M49/'Table 1'!D49</f>
        <v>3.358817860584645</v>
      </c>
      <c r="J49" s="444">
        <f>'Table 9'!N49/'Table 1'!D49</f>
        <v>6.0502818094209037</v>
      </c>
      <c r="K49" s="159">
        <f>'Table 6'!L49/'Table 9'!N49</f>
        <v>2.1798785402824019</v>
      </c>
    </row>
    <row r="50" spans="1:11" x14ac:dyDescent="0.25">
      <c r="A50" s="40" t="s">
        <v>1573</v>
      </c>
      <c r="B50" s="40" t="s">
        <v>1966</v>
      </c>
      <c r="C50" s="248">
        <f>VLOOKUP($A50,[0]!Data,202,FALSE)/'Table 9'!$N50</f>
        <v>0.22795883684616494</v>
      </c>
      <c r="D50" s="248">
        <f>VLOOKUP($A50,[0]!Data,205,FALSE)/'Table 9'!$N50</f>
        <v>0.11964530957024513</v>
      </c>
      <c r="E50" s="248">
        <f>VLOOKUP($A50,[0]!Data,203,FALSE)/'Table 9'!$N50</f>
        <v>2.3152706270420098E-2</v>
      </c>
      <c r="F50" s="248">
        <f>VLOOKUP($A50,[0]!Data,206,FALSE)/'Table 9'!$N50</f>
        <v>2.3829979368254705E-3</v>
      </c>
      <c r="G50" s="461">
        <f>VLOOKUP($A50,[0]!Data,204,FALSE)/'Table 9'!$N50</f>
        <v>0.13455785981701085</v>
      </c>
      <c r="H50" s="248">
        <f>VLOOKUP($A50,[0]!Data,207,FALSE)/'Table 9'!$N50</f>
        <v>2.6796184694882198E-2</v>
      </c>
      <c r="I50" s="443">
        <f>'Table 9'!M50/'Table 1'!D50</f>
        <v>0.52781740370898711</v>
      </c>
      <c r="J50" s="444">
        <f>'Table 9'!N50/'Table 1'!D50</f>
        <v>7.58264384213029</v>
      </c>
      <c r="K50" s="159">
        <f>'Table 6'!L50/'Table 9'!N50</f>
        <v>3.5035588192872327</v>
      </c>
    </row>
    <row r="51" spans="1:11" x14ac:dyDescent="0.25">
      <c r="A51" s="40" t="s">
        <v>1597</v>
      </c>
      <c r="B51" s="40" t="s">
        <v>1967</v>
      </c>
      <c r="C51" s="248">
        <f>VLOOKUP($A51,[0]!Data,202,FALSE)/'Table 9'!$N51</f>
        <v>0.22619392522586423</v>
      </c>
      <c r="D51" s="248">
        <f>VLOOKUP($A51,[0]!Data,205,FALSE)/'Table 9'!$N51</f>
        <v>7.7021955369957804E-2</v>
      </c>
      <c r="E51" s="248">
        <f>VLOOKUP($A51,[0]!Data,203,FALSE)/'Table 9'!$N51</f>
        <v>3.2756559470646804E-2</v>
      </c>
      <c r="F51" s="248">
        <f>VLOOKUP($A51,[0]!Data,206,FALSE)/'Table 9'!$N51</f>
        <v>3.131961996863043E-3</v>
      </c>
      <c r="G51" s="461">
        <f>VLOOKUP($A51,[0]!Data,204,FALSE)/'Table 9'!$N51</f>
        <v>0.20555727610884109</v>
      </c>
      <c r="H51" s="248">
        <f>VLOOKUP($A51,[0]!Data,207,FALSE)/'Table 9'!$N51</f>
        <v>4.0067800899793865E-2</v>
      </c>
      <c r="I51" s="443">
        <f>'Table 9'!M51/'Table 1'!D51</f>
        <v>0.73522800815582356</v>
      </c>
      <c r="J51" s="444">
        <f>'Table 9'!N51/'Table 1'!D51</f>
        <v>4.1793863647434604</v>
      </c>
      <c r="K51" s="159">
        <f>'Table 6'!L51/'Table 9'!N51</f>
        <v>4.9140650235937811</v>
      </c>
    </row>
    <row r="52" spans="1:11" x14ac:dyDescent="0.25">
      <c r="A52" s="40" t="s">
        <v>1625</v>
      </c>
      <c r="B52" s="40" t="s">
        <v>1968</v>
      </c>
      <c r="C52" s="248">
        <f>VLOOKUP($A52,[0]!Data,202,FALSE)/'Table 9'!$N52</f>
        <v>0.29319421843591464</v>
      </c>
      <c r="D52" s="248">
        <f>VLOOKUP($A52,[0]!Data,205,FALSE)/'Table 9'!$N52</f>
        <v>7.9944655708032761E-2</v>
      </c>
      <c r="E52" s="248">
        <f>VLOOKUP($A52,[0]!Data,203,FALSE)/'Table 9'!$N52</f>
        <v>5.1706884098958378E-2</v>
      </c>
      <c r="F52" s="248">
        <f>VLOOKUP($A52,[0]!Data,206,FALSE)/'Table 9'!$N52</f>
        <v>1.035529991211048E-3</v>
      </c>
      <c r="G52" s="461">
        <f>VLOOKUP($A52,[0]!Data,204,FALSE)/'Table 9'!$N52</f>
        <v>0.32685329411662328</v>
      </c>
      <c r="H52" s="248">
        <f>VLOOKUP($A52,[0]!Data,207,FALSE)/'Table 9'!$N52</f>
        <v>4.3309519044179713E-2</v>
      </c>
      <c r="I52" s="443">
        <f>'Table 9'!M52/'Table 1'!D52</f>
        <v>2.3888675305487082E-2</v>
      </c>
      <c r="J52" s="444">
        <f>'Table 9'!N52/'Table 1'!D52</f>
        <v>0.86627166301062142</v>
      </c>
      <c r="K52" s="159">
        <f>'Table 6'!L52/'Table 9'!N52</f>
        <v>10.25227773088403</v>
      </c>
    </row>
    <row r="53" spans="1:11" x14ac:dyDescent="0.25">
      <c r="A53" s="40" t="s">
        <v>1638</v>
      </c>
      <c r="B53" s="40" t="s">
        <v>1969</v>
      </c>
      <c r="C53" s="248">
        <f>VLOOKUP($A53,[0]!Data,202,FALSE)/'Table 9'!$N53</f>
        <v>0.31407728758212689</v>
      </c>
      <c r="D53" s="248">
        <f>VLOOKUP($A53,[0]!Data,205,FALSE)/'Table 9'!$N53</f>
        <v>7.4194822898977719E-2</v>
      </c>
      <c r="E53" s="248">
        <f>VLOOKUP($A53,[0]!Data,203,FALSE)/'Table 9'!$N53</f>
        <v>3.2688528793797737E-2</v>
      </c>
      <c r="F53" s="248">
        <f>VLOOKUP($A53,[0]!Data,206,FALSE)/'Table 9'!$N53</f>
        <v>2.5851489993013819E-3</v>
      </c>
      <c r="G53" s="461">
        <f>VLOOKUP($A53,[0]!Data,204,FALSE)/'Table 9'!$N53</f>
        <v>0.15646954469455732</v>
      </c>
      <c r="H53" s="248">
        <f>VLOOKUP($A53,[0]!Data,207,FALSE)/'Table 9'!$N53</f>
        <v>3.4253224240743306E-2</v>
      </c>
      <c r="I53" s="443">
        <f>'Table 9'!M53/'Table 1'!D53</f>
        <v>0.62382605478229647</v>
      </c>
      <c r="J53" s="444">
        <f>'Table 9'!N53/'Table 1'!D53</f>
        <v>4.1590906617623054</v>
      </c>
      <c r="K53" s="159">
        <f>'Table 6'!L53/'Table 9'!N53</f>
        <v>4.959655453015964</v>
      </c>
    </row>
    <row r="54" spans="1:11" x14ac:dyDescent="0.25">
      <c r="A54" s="40" t="s">
        <v>1655</v>
      </c>
      <c r="B54" s="40" t="s">
        <v>1970</v>
      </c>
      <c r="C54" s="248">
        <f>VLOOKUP($A54,[0]!Data,202,FALSE)/'Table 9'!$N54</f>
        <v>0.2061427403977118</v>
      </c>
      <c r="D54" s="248">
        <f>VLOOKUP($A54,[0]!Data,205,FALSE)/'Table 9'!$N54</f>
        <v>8.1756347322366696E-2</v>
      </c>
      <c r="E54" s="248">
        <f>VLOOKUP($A54,[0]!Data,203,FALSE)/'Table 9'!$N54</f>
        <v>2.8255104820462645E-2</v>
      </c>
      <c r="F54" s="248">
        <f>VLOOKUP($A54,[0]!Data,206,FALSE)/'Table 9'!$N54</f>
        <v>3.0951361748731091E-3</v>
      </c>
      <c r="G54" s="461">
        <f>VLOOKUP($A54,[0]!Data,204,FALSE)/'Table 9'!$N54</f>
        <v>0.19573991405333585</v>
      </c>
      <c r="H54" s="248">
        <f>VLOOKUP($A54,[0]!Data,207,FALSE)/'Table 9'!$N54</f>
        <v>4.7391579895374111E-2</v>
      </c>
      <c r="I54" s="443">
        <f>'Table 9'!M54/'Table 1'!D54</f>
        <v>1.4876782294105129</v>
      </c>
      <c r="J54" s="444">
        <f>'Table 9'!N54/'Table 1'!D54</f>
        <v>5.1040363197843517</v>
      </c>
      <c r="K54" s="159">
        <f>'Table 6'!L54/'Table 9'!N54</f>
        <v>4.4595672646612448</v>
      </c>
    </row>
    <row r="55" spans="1:11" x14ac:dyDescent="0.25">
      <c r="A55" s="40" t="s">
        <v>1671</v>
      </c>
      <c r="B55" s="40" t="s">
        <v>1971</v>
      </c>
      <c r="C55" s="248">
        <f>VLOOKUP($A55,[0]!Data,202,FALSE)/'Table 9'!$N55</f>
        <v>0.235639305067146</v>
      </c>
      <c r="D55" s="248">
        <f>VLOOKUP($A55,[0]!Data,205,FALSE)/'Table 9'!$N55</f>
        <v>6.1129484035915914E-2</v>
      </c>
      <c r="E55" s="248">
        <f>VLOOKUP($A55,[0]!Data,203,FALSE)/'Table 9'!$N55</f>
        <v>2.3699618676974895E-2</v>
      </c>
      <c r="F55" s="248">
        <f>VLOOKUP($A55,[0]!Data,206,FALSE)/'Table 9'!$N55</f>
        <v>6.7189640579052537E-4</v>
      </c>
      <c r="G55" s="461">
        <f>VLOOKUP($A55,[0]!Data,204,FALSE)/'Table 9'!$N55</f>
        <v>0.16838422003298401</v>
      </c>
      <c r="H55" s="248">
        <f>VLOOKUP($A55,[0]!Data,207,FALSE)/'Table 9'!$N55</f>
        <v>3.0488390153663579E-2</v>
      </c>
      <c r="I55" s="443">
        <f>'Table 9'!M55/'Table 1'!D55</f>
        <v>0.47439552161647197</v>
      </c>
      <c r="J55" s="444">
        <f>'Table 9'!N55/'Table 1'!D55</f>
        <v>3.3854038964299957</v>
      </c>
      <c r="K55" s="159">
        <f>'Table 6'!L55/'Table 9'!N55</f>
        <v>2.6274988874442631</v>
      </c>
    </row>
    <row r="56" spans="1:11" x14ac:dyDescent="0.25">
      <c r="A56" s="40" t="s">
        <v>1683</v>
      </c>
      <c r="B56" s="40" t="s">
        <v>1972</v>
      </c>
      <c r="C56" s="248">
        <f>VLOOKUP($A56,[0]!Data,202,FALSE)/'Table 9'!$N56</f>
        <v>0.27179032924150559</v>
      </c>
      <c r="D56" s="248">
        <f>VLOOKUP($A56,[0]!Data,205,FALSE)/'Table 9'!$N56</f>
        <v>9.3116512350297165E-2</v>
      </c>
      <c r="E56" s="248">
        <f>VLOOKUP($A56,[0]!Data,203,FALSE)/'Table 9'!$N56</f>
        <v>1.9379821763096942E-2</v>
      </c>
      <c r="F56" s="248">
        <f>VLOOKUP($A56,[0]!Data,206,FALSE)/'Table 9'!$N56</f>
        <v>9.6958960025376908E-4</v>
      </c>
      <c r="G56" s="461">
        <f>VLOOKUP($A56,[0]!Data,204,FALSE)/'Table 9'!$N56</f>
        <v>0.32561452229756827</v>
      </c>
      <c r="H56" s="248">
        <f>VLOOKUP($A56,[0]!Data,207,FALSE)/'Table 9'!$N56</f>
        <v>5.5488056691066011E-2</v>
      </c>
      <c r="I56" s="443">
        <f>'Table 9'!M56/'Table 1'!D56</f>
        <v>0.1090883320997181</v>
      </c>
      <c r="J56" s="444">
        <f>'Table 9'!N56/'Table 1'!D56</f>
        <v>2.6312382872171214</v>
      </c>
      <c r="K56" s="159">
        <f>'Table 6'!L56/'Table 9'!N56</f>
        <v>4.6288806028213862</v>
      </c>
    </row>
    <row r="57" spans="1:11" x14ac:dyDescent="0.25">
      <c r="A57" s="40" t="s">
        <v>1714</v>
      </c>
      <c r="B57" s="40" t="s">
        <v>1973</v>
      </c>
      <c r="C57" s="248">
        <f>VLOOKUP($A57,[0]!Data,202,FALSE)/'Table 9'!$N57</f>
        <v>0.30941109638326075</v>
      </c>
      <c r="D57" s="248">
        <f>VLOOKUP($A57,[0]!Data,205,FALSE)/'Table 9'!$N57</f>
        <v>5.7833112415577856E-2</v>
      </c>
      <c r="E57" s="248">
        <f>VLOOKUP($A57,[0]!Data,203,FALSE)/'Table 9'!$N57</f>
        <v>4.2731805844852616E-2</v>
      </c>
      <c r="F57" s="248">
        <f>VLOOKUP($A57,[0]!Data,206,FALSE)/'Table 9'!$N57</f>
        <v>2.6983525847377389E-3</v>
      </c>
      <c r="G57" s="461">
        <f>VLOOKUP($A57,[0]!Data,204,FALSE)/'Table 9'!$N57</f>
        <v>0.19884175976772075</v>
      </c>
      <c r="H57" s="248">
        <f>VLOOKUP($A57,[0]!Data,207,FALSE)/'Table 9'!$N57</f>
        <v>3.167013823139557E-2</v>
      </c>
      <c r="I57" s="443">
        <f>'Table 9'!M57/'Table 1'!D57</f>
        <v>0.16840369946072817</v>
      </c>
      <c r="J57" s="444">
        <f>'Table 9'!N57/'Table 1'!D57</f>
        <v>1.7707116711838833</v>
      </c>
      <c r="K57" s="159">
        <f>'Table 6'!L57/'Table 9'!N57</f>
        <v>7.6225620147699296</v>
      </c>
    </row>
    <row r="58" spans="1:11" x14ac:dyDescent="0.25">
      <c r="A58" s="40" t="s">
        <v>1756</v>
      </c>
      <c r="B58" s="40" t="s">
        <v>1974</v>
      </c>
      <c r="C58" s="248">
        <f>VLOOKUP($A58,[0]!Data,202,FALSE)/'Table 9'!$N58</f>
        <v>0.36540881271454573</v>
      </c>
      <c r="D58" s="248">
        <f>VLOOKUP($A58,[0]!Data,205,FALSE)/'Table 9'!$N58</f>
        <v>6.6571788074616112E-2</v>
      </c>
      <c r="E58" s="248">
        <f>VLOOKUP($A58,[0]!Data,203,FALSE)/'Table 9'!$N58</f>
        <v>1.8446352875065661E-2</v>
      </c>
      <c r="F58" s="248">
        <f>VLOOKUP($A58,[0]!Data,206,FALSE)/'Table 9'!$N58</f>
        <v>3.1761932102762066E-4</v>
      </c>
      <c r="G58" s="461">
        <f>VLOOKUP($A58,[0]!Data,204,FALSE)/'Table 9'!$N58</f>
        <v>0.25300211339009759</v>
      </c>
      <c r="H58" s="248">
        <f>VLOOKUP($A58,[0]!Data,207,FALSE)/'Table 9'!$N58</f>
        <v>3.5365689783652378E-2</v>
      </c>
      <c r="I58" s="443">
        <f>'Table 9'!M58/'Table 1'!D58</f>
        <v>0.32517692021181843</v>
      </c>
      <c r="J58" s="444">
        <f>'Table 9'!N58/'Table 1'!D58</f>
        <v>2.6512607083286102</v>
      </c>
      <c r="K58" s="159">
        <f>'Table 6'!L58/'Table 9'!N58</f>
        <v>6.8984595462930161</v>
      </c>
    </row>
    <row r="59" spans="1:11" x14ac:dyDescent="0.25">
      <c r="A59" s="40" t="s">
        <v>1768</v>
      </c>
      <c r="B59" s="40" t="s">
        <v>1975</v>
      </c>
      <c r="C59" s="248">
        <f>VLOOKUP($A59,[0]!Data,202,FALSE)/'Table 9'!$N59</f>
        <v>0.22078661158418345</v>
      </c>
      <c r="D59" s="248">
        <f>VLOOKUP($A59,[0]!Data,205,FALSE)/'Table 9'!$N59</f>
        <v>9.3942332012477869E-2</v>
      </c>
      <c r="E59" s="248">
        <f>VLOOKUP($A59,[0]!Data,203,FALSE)/'Table 9'!$N59</f>
        <v>2.339073433943175E-2</v>
      </c>
      <c r="F59" s="248">
        <f>VLOOKUP($A59,[0]!Data,206,FALSE)/'Table 9'!$N59</f>
        <v>7.8777084562853044E-4</v>
      </c>
      <c r="G59" s="461">
        <f>VLOOKUP($A59,[0]!Data,204,FALSE)/'Table 9'!$N59</f>
        <v>0.14981346429474748</v>
      </c>
      <c r="H59" s="248">
        <f>VLOOKUP($A59,[0]!Data,207,FALSE)/'Table 9'!$N59</f>
        <v>5.6068733664952367E-2</v>
      </c>
      <c r="I59" s="443">
        <f>'Table 9'!M59/'Table 1'!D59</f>
        <v>2.9473622543132487</v>
      </c>
      <c r="J59" s="444">
        <f>'Table 9'!N59/'Table 1'!D59</f>
        <v>11.117841764550807</v>
      </c>
      <c r="K59" s="159">
        <f>'Table 6'!L59/'Table 9'!N59</f>
        <v>3.8590364429643369</v>
      </c>
    </row>
    <row r="60" spans="1:11" x14ac:dyDescent="0.25">
      <c r="A60" s="40" t="s">
        <v>1784</v>
      </c>
      <c r="B60" s="40" t="s">
        <v>1976</v>
      </c>
      <c r="C60" s="248">
        <f>VLOOKUP($A60,[0]!Data,202,FALSE)/'Table 9'!$N60</f>
        <v>0.12105840807372607</v>
      </c>
      <c r="D60" s="248">
        <f>VLOOKUP($A60,[0]!Data,205,FALSE)/'Table 9'!$N60</f>
        <v>4.7204137255513784E-2</v>
      </c>
      <c r="E60" s="248">
        <f>VLOOKUP($A60,[0]!Data,203,FALSE)/'Table 9'!$N60</f>
        <v>2.4666703748573816E-2</v>
      </c>
      <c r="F60" s="248">
        <f>VLOOKUP($A60,[0]!Data,206,FALSE)/'Table 9'!$N60</f>
        <v>3.2288392322959894E-4</v>
      </c>
      <c r="G60" s="461">
        <f>VLOOKUP($A60,[0]!Data,204,FALSE)/'Table 9'!$N60</f>
        <v>0.2139838585171488</v>
      </c>
      <c r="H60" s="248">
        <f>VLOOKUP($A60,[0]!Data,207,FALSE)/'Table 9'!$N60</f>
        <v>3.204351607025846E-2</v>
      </c>
      <c r="I60" s="443">
        <f>'Table 9'!M60/'Table 1'!D60</f>
        <v>2.7789384364602641</v>
      </c>
      <c r="J60" s="444">
        <f>'Table 9'!N60/'Table 1'!D60</f>
        <v>6.5838108210704958</v>
      </c>
      <c r="K60" s="159">
        <f>'Table 6'!L60/'Table 9'!N60</f>
        <v>3.1556022395663046</v>
      </c>
    </row>
    <row r="61" spans="1:11" x14ac:dyDescent="0.25">
      <c r="A61" s="40" t="s">
        <v>1531</v>
      </c>
      <c r="B61" s="40" t="s">
        <v>1977</v>
      </c>
      <c r="C61" s="248">
        <f>VLOOKUP($A61,[0]!Data,202,FALSE)/'Table 9'!$N61</f>
        <v>0.24389399892838007</v>
      </c>
      <c r="D61" s="248">
        <f>VLOOKUP($A61,[0]!Data,205,FALSE)/'Table 9'!$N61</f>
        <v>9.2371405608144316E-2</v>
      </c>
      <c r="E61" s="248">
        <f>VLOOKUP($A61,[0]!Data,203,FALSE)/'Table 9'!$N61</f>
        <v>4.6972673691730665E-2</v>
      </c>
      <c r="F61" s="248">
        <f>VLOOKUP($A61,[0]!Data,206,FALSE)/'Table 9'!$N61</f>
        <v>5.24647258439007E-4</v>
      </c>
      <c r="G61" s="461">
        <f>VLOOKUP($A61,[0]!Data,204,FALSE)/'Table 9'!$N61</f>
        <v>0.31654090016074299</v>
      </c>
      <c r="H61" s="248">
        <f>VLOOKUP($A61,[0]!Data,207,FALSE)/'Table 9'!$N61</f>
        <v>6.5268351491337737E-2</v>
      </c>
      <c r="I61" s="443">
        <f>'Table 9'!M61/'Table 1'!D61</f>
        <v>0.30595171876738236</v>
      </c>
      <c r="J61" s="444">
        <f>'Table 9'!N61/'Table 1'!D61</f>
        <v>1.9931916787184336</v>
      </c>
      <c r="K61" s="159">
        <f>'Table 6'!L61/'Table 9'!N61</f>
        <v>10.332570548312198</v>
      </c>
    </row>
    <row r="62" spans="1:11" x14ac:dyDescent="0.25">
      <c r="A62" s="40" t="s">
        <v>1799</v>
      </c>
      <c r="B62" s="40" t="s">
        <v>1978</v>
      </c>
      <c r="C62" s="248">
        <f>VLOOKUP($A62,[0]!Data,202,FALSE)/'Table 9'!$N62</f>
        <v>0.16961072104513422</v>
      </c>
      <c r="D62" s="248">
        <f>VLOOKUP($A62,[0]!Data,205,FALSE)/'Table 9'!$N62</f>
        <v>0.11545525925291909</v>
      </c>
      <c r="E62" s="248">
        <f>VLOOKUP($A62,[0]!Data,203,FALSE)/'Table 9'!$N62</f>
        <v>3.6609567296061095E-2</v>
      </c>
      <c r="F62" s="248">
        <f>VLOOKUP($A62,[0]!Data,206,FALSE)/'Table 9'!$N62</f>
        <v>6.4159278509436546E-4</v>
      </c>
      <c r="G62" s="461">
        <f>VLOOKUP($A62,[0]!Data,204,FALSE)/'Table 9'!$N62</f>
        <v>0.44187506495843099</v>
      </c>
      <c r="H62" s="248">
        <f>VLOOKUP($A62,[0]!Data,207,FALSE)/'Table 9'!$N62</f>
        <v>8.2907482599874405E-2</v>
      </c>
      <c r="I62" s="443">
        <f>'Table 9'!M62/'Table 1'!D62</f>
        <v>1.3884292932637805</v>
      </c>
      <c r="J62" s="444">
        <f>'Table 9'!N62/'Table 1'!D62</f>
        <v>11.151353594065924</v>
      </c>
      <c r="K62" s="159">
        <f>'Table 6'!L62/'Table 9'!N62</f>
        <v>2.161303291023378</v>
      </c>
    </row>
    <row r="63" spans="1:11" x14ac:dyDescent="0.25">
      <c r="A63" s="40" t="s">
        <v>1814</v>
      </c>
      <c r="B63" s="40" t="s">
        <v>1979</v>
      </c>
      <c r="C63" s="248">
        <f>VLOOKUP($A63,[0]!Data,202,FALSE)/'Table 9'!$N63</f>
        <v>0.2535553243149497</v>
      </c>
      <c r="D63" s="248">
        <f>VLOOKUP($A63,[0]!Data,205,FALSE)/'Table 9'!$N63</f>
        <v>0.11483023085520484</v>
      </c>
      <c r="E63" s="248">
        <f>VLOOKUP($A63,[0]!Data,203,FALSE)/'Table 9'!$N63</f>
        <v>2.8346244267159981E-2</v>
      </c>
      <c r="F63" s="248">
        <f>VLOOKUP($A63,[0]!Data,206,FALSE)/'Table 9'!$N63</f>
        <v>0</v>
      </c>
      <c r="G63" s="461">
        <f>VLOOKUP($A63,[0]!Data,204,FALSE)/'Table 9'!$N63</f>
        <v>0.21925463444714224</v>
      </c>
      <c r="H63" s="248">
        <f>VLOOKUP($A63,[0]!Data,207,FALSE)/'Table 9'!$N63</f>
        <v>4.2606081627933869E-2</v>
      </c>
      <c r="I63" s="443">
        <f>'Table 9'!M63/'Table 1'!D63</f>
        <v>4.9252025247254111E-2</v>
      </c>
      <c r="J63" s="444">
        <f>'Table 9'!N63/'Table 1'!D63</f>
        <v>2.5790964663784108</v>
      </c>
      <c r="K63" s="159">
        <f>'Table 6'!L63/'Table 9'!N63</f>
        <v>9.0290592361351987</v>
      </c>
    </row>
    <row r="64" spans="1:11" x14ac:dyDescent="0.25">
      <c r="A64" s="40" t="s">
        <v>1826</v>
      </c>
      <c r="B64" s="40" t="s">
        <v>1980</v>
      </c>
      <c r="C64" s="248">
        <f>VLOOKUP($A64,[0]!Data,202,FALSE)/'Table 9'!$N64</f>
        <v>0.2244944161620013</v>
      </c>
      <c r="D64" s="248">
        <f>VLOOKUP($A64,[0]!Data,205,FALSE)/'Table 9'!$N64</f>
        <v>6.5638767832088676E-2</v>
      </c>
      <c r="E64" s="248">
        <f>VLOOKUP($A64,[0]!Data,203,FALSE)/'Table 9'!$N64</f>
        <v>2.2308542423168237E-2</v>
      </c>
      <c r="F64" s="248">
        <f>VLOOKUP($A64,[0]!Data,206,FALSE)/'Table 9'!$N64</f>
        <v>9.8986896077163898E-3</v>
      </c>
      <c r="G64" s="461">
        <f>VLOOKUP($A64,[0]!Data,204,FALSE)/'Table 9'!$N64</f>
        <v>0.22030914414910888</v>
      </c>
      <c r="H64" s="248">
        <f>VLOOKUP($A64,[0]!Data,207,FALSE)/'Table 9'!$N64</f>
        <v>4.7884873741811912E-2</v>
      </c>
      <c r="I64" s="443">
        <f>'Table 9'!M64/'Table 1'!D64</f>
        <v>0.77940516633549128</v>
      </c>
      <c r="J64" s="444">
        <f>'Table 9'!N64/'Table 1'!D64</f>
        <v>2.6897394397795011</v>
      </c>
      <c r="K64" s="159">
        <f>'Table 6'!L64/'Table 9'!N64</f>
        <v>5.95648806527237</v>
      </c>
    </row>
    <row r="65" spans="1:11" x14ac:dyDescent="0.25">
      <c r="A65" s="40" t="s">
        <v>1842</v>
      </c>
      <c r="B65" s="40" t="s">
        <v>1981</v>
      </c>
      <c r="C65" s="248">
        <f>VLOOKUP($A65,[0]!Data,202,FALSE)/'Table 9'!$N65</f>
        <v>0.22041775372299915</v>
      </c>
      <c r="D65" s="248">
        <f>VLOOKUP($A65,[0]!Data,205,FALSE)/'Table 9'!$N65</f>
        <v>8.2173356451848131E-2</v>
      </c>
      <c r="E65" s="248">
        <f>VLOOKUP($A65,[0]!Data,203,FALSE)/'Table 9'!$N65</f>
        <v>2.7567208439338204E-2</v>
      </c>
      <c r="F65" s="248">
        <f>VLOOKUP($A65,[0]!Data,206,FALSE)/'Table 9'!$N65</f>
        <v>1.1245969114096353E-3</v>
      </c>
      <c r="G65" s="461">
        <f>VLOOKUP($A65,[0]!Data,204,FALSE)/'Table 9'!$N65</f>
        <v>0.24472460339323621</v>
      </c>
      <c r="H65" s="248">
        <f>VLOOKUP($A65,[0]!Data,207,FALSE)/'Table 9'!$N65</f>
        <v>5.5179789664727523E-2</v>
      </c>
      <c r="I65" s="443">
        <f>'Table 9'!M65/'Table 1'!D65</f>
        <v>0.84567871034027253</v>
      </c>
      <c r="J65" s="444">
        <f>'Table 9'!N65/'Table 1'!D65</f>
        <v>3.7740037672154405</v>
      </c>
      <c r="K65" s="159">
        <f>'Table 6'!L65/'Table 9'!N65</f>
        <v>5.7484111422598891</v>
      </c>
    </row>
    <row r="66" spans="1:11" ht="13.5" customHeight="1" thickBot="1" x14ac:dyDescent="0.3">
      <c r="A66" s="648" t="s">
        <v>2068</v>
      </c>
      <c r="B66" s="649"/>
      <c r="C66" s="265">
        <f t="shared" ref="C66:K66" si="0">AVERAGE(C8:C65)</f>
        <v>0.24679256085877116</v>
      </c>
      <c r="D66" s="265">
        <f t="shared" si="0"/>
        <v>7.81057723415267E-2</v>
      </c>
      <c r="E66" s="265">
        <f t="shared" si="0"/>
        <v>2.7211659210853806E-2</v>
      </c>
      <c r="F66" s="265">
        <f t="shared" si="0"/>
        <v>3.1618135364205697E-3</v>
      </c>
      <c r="G66" s="265">
        <f t="shared" si="0"/>
        <v>0.2302336552538754</v>
      </c>
      <c r="H66" s="265">
        <f t="shared" si="0"/>
        <v>4.9731639337346964E-2</v>
      </c>
      <c r="I66" s="446">
        <f t="shared" si="0"/>
        <v>0.8438800017070851</v>
      </c>
      <c r="J66" s="447">
        <f t="shared" si="0"/>
        <v>4.1700952912168878</v>
      </c>
      <c r="K66" s="448">
        <f t="shared" si="0"/>
        <v>5.4469394688570185</v>
      </c>
    </row>
    <row r="67" spans="1:11" ht="16.5" thickTop="1" thickBot="1" x14ac:dyDescent="0.3">
      <c r="A67" s="651" t="s">
        <v>1866</v>
      </c>
      <c r="B67" s="651"/>
      <c r="C67" s="269"/>
      <c r="D67" s="269"/>
      <c r="E67" s="269"/>
      <c r="F67" s="269"/>
      <c r="G67" s="269"/>
      <c r="H67" s="269"/>
      <c r="I67" s="449"/>
      <c r="J67" s="269"/>
      <c r="K67" s="450"/>
    </row>
    <row r="68" spans="1:11" ht="15.75" thickTop="1" x14ac:dyDescent="0.25">
      <c r="A68" s="40" t="s">
        <v>692</v>
      </c>
      <c r="B68" s="40" t="s">
        <v>1982</v>
      </c>
      <c r="C68" s="248">
        <f>VLOOKUP($A68,[0]!Data,202,FALSE)/'Table 9'!$N68</f>
        <v>0.34777177706748963</v>
      </c>
      <c r="D68" s="248">
        <f>VLOOKUP($A68,[0]!Data,205,FALSE)/'Table 9'!$N68</f>
        <v>9.8129982732649987E-2</v>
      </c>
      <c r="E68" s="248">
        <f>VLOOKUP($A68,[0]!Data,203,FALSE)/'Table 9'!$N68</f>
        <v>3.4571439068297877E-2</v>
      </c>
      <c r="F68" s="248">
        <f>VLOOKUP($A68,[0]!Data,206,FALSE)/'Table 9'!$N68</f>
        <v>3.2575284421421311E-3</v>
      </c>
      <c r="G68" s="461">
        <f>VLOOKUP($A68,[0]!Data,204,FALSE)/'Table 9'!$N68</f>
        <v>0.24409419890517653</v>
      </c>
      <c r="H68" s="248">
        <f>VLOOKUP($A68,[0]!Data,207,FALSE)/'Table 9'!$N68</f>
        <v>5.733739912071225E-2</v>
      </c>
      <c r="I68" s="443">
        <f>'Table 9'!M68/'Table 1'!D68</f>
        <v>1.9996342928791599E-2</v>
      </c>
      <c r="J68" s="444">
        <f>'Table 9'!N68/'Table 1'!D68</f>
        <v>1.0665195130870906</v>
      </c>
      <c r="K68" s="159">
        <f>'Table 6'!L68/'Table 9'!N68</f>
        <v>12.72765347735038</v>
      </c>
    </row>
    <row r="69" spans="1:11" x14ac:dyDescent="0.25">
      <c r="A69" s="40" t="s">
        <v>739</v>
      </c>
      <c r="B69" s="40" t="s">
        <v>1983</v>
      </c>
      <c r="C69" s="248">
        <f>VLOOKUP($A69,[0]!Data,202,FALSE)/'Table 9'!$N69</f>
        <v>0.30599305682441075</v>
      </c>
      <c r="D69" s="248">
        <f>VLOOKUP($A69,[0]!Data,205,FALSE)/'Table 9'!$N69</f>
        <v>5.0140690663255987E-2</v>
      </c>
      <c r="E69" s="248">
        <f>VLOOKUP($A69,[0]!Data,203,FALSE)/'Table 9'!$N69</f>
        <v>3.2198063219440895E-2</v>
      </c>
      <c r="F69" s="248">
        <f>VLOOKUP($A69,[0]!Data,206,FALSE)/'Table 9'!$N69</f>
        <v>5.481454412570802E-5</v>
      </c>
      <c r="G69" s="461">
        <f>VLOOKUP($A69,[0]!Data,204,FALSE)/'Table 9'!$N69</f>
        <v>0.41413484377854926</v>
      </c>
      <c r="H69" s="248">
        <f>VLOOKUP($A69,[0]!Data,207,FALSE)/'Table 9'!$N69</f>
        <v>0.10121322857664901</v>
      </c>
      <c r="I69" s="443">
        <f>'Table 9'!M69/'Table 1'!D69</f>
        <v>0.11901526035801654</v>
      </c>
      <c r="J69" s="444">
        <f>'Table 9'!N69/'Table 1'!D69</f>
        <v>5.3129732458354368</v>
      </c>
      <c r="K69" s="159">
        <f>'Table 6'!L69/'Table 9'!N69</f>
        <v>3.0715987575369996</v>
      </c>
    </row>
    <row r="70" spans="1:11" x14ac:dyDescent="0.25">
      <c r="A70" s="40" t="s">
        <v>723</v>
      </c>
      <c r="B70" s="40" t="s">
        <v>1984</v>
      </c>
      <c r="C70" s="248">
        <f>VLOOKUP($A70,[0]!Data,202,FALSE)/'Table 9'!$N70</f>
        <v>0.24045056178715296</v>
      </c>
      <c r="D70" s="248">
        <f>VLOOKUP($A70,[0]!Data,205,FALSE)/'Table 9'!$N70</f>
        <v>7.4063991310055033E-2</v>
      </c>
      <c r="E70" s="248">
        <f>VLOOKUP($A70,[0]!Data,203,FALSE)/'Table 9'!$N70</f>
        <v>3.1470053517015338E-2</v>
      </c>
      <c r="F70" s="248">
        <f>VLOOKUP($A70,[0]!Data,206,FALSE)/'Table 9'!$N70</f>
        <v>6.6710960947807775E-4</v>
      </c>
      <c r="G70" s="461">
        <f>VLOOKUP($A70,[0]!Data,204,FALSE)/'Table 9'!$N70</f>
        <v>0.22930915746077868</v>
      </c>
      <c r="H70" s="248">
        <f>VLOOKUP($A70,[0]!Data,207,FALSE)/'Table 9'!$N70</f>
        <v>4.7486074929212259E-2</v>
      </c>
      <c r="I70" s="443">
        <f>'Table 9'!M70/'Table 1'!D70</f>
        <v>0.84830306570492842</v>
      </c>
      <c r="J70" s="444">
        <f>'Table 9'!N70/'Table 1'!D70</f>
        <v>4.8699946837486792</v>
      </c>
      <c r="K70" s="159">
        <f>'Table 6'!L70/'Table 9'!N70</f>
        <v>3.0542474666681043</v>
      </c>
    </row>
    <row r="71" spans="1:11" x14ac:dyDescent="0.25">
      <c r="A71" s="40" t="s">
        <v>760</v>
      </c>
      <c r="B71" s="40" t="s">
        <v>1985</v>
      </c>
      <c r="C71" s="248">
        <f>VLOOKUP($A71,[0]!Data,202,FALSE)/'Table 9'!$N71</f>
        <v>0.4043956697007815</v>
      </c>
      <c r="D71" s="248">
        <f>VLOOKUP($A71,[0]!Data,205,FALSE)/'Table 9'!$N71</f>
        <v>4.2173865673563585E-2</v>
      </c>
      <c r="E71" s="248">
        <f>VLOOKUP($A71,[0]!Data,203,FALSE)/'Table 9'!$N71</f>
        <v>1.6184146667591097E-2</v>
      </c>
      <c r="F71" s="248">
        <f>VLOOKUP($A71,[0]!Data,206,FALSE)/'Table 9'!$N71</f>
        <v>1.1093172746451671E-3</v>
      </c>
      <c r="G71" s="461">
        <f>VLOOKUP($A71,[0]!Data,204,FALSE)/'Table 9'!$N71</f>
        <v>0.26534473024771449</v>
      </c>
      <c r="H71" s="248">
        <f>VLOOKUP($A71,[0]!Data,207,FALSE)/'Table 9'!$N71</f>
        <v>4.1827204025236965E-2</v>
      </c>
      <c r="I71" s="443">
        <f>'Table 9'!M71/'Table 1'!D71</f>
        <v>0.10404899221118973</v>
      </c>
      <c r="J71" s="444">
        <f>'Table 9'!N71/'Table 1'!D71</f>
        <v>1.5007283429454783</v>
      </c>
      <c r="K71" s="159">
        <f>'Table 6'!L71/'Table 9'!N71</f>
        <v>8.8115844418252234</v>
      </c>
    </row>
    <row r="72" spans="1:11" x14ac:dyDescent="0.25">
      <c r="A72" s="40" t="s">
        <v>975</v>
      </c>
      <c r="B72" s="40" t="s">
        <v>1986</v>
      </c>
      <c r="C72" s="248">
        <f>VLOOKUP($A72,[0]!Data,202,FALSE)/'Table 9'!$N72</f>
        <v>0.33176608141273678</v>
      </c>
      <c r="D72" s="248">
        <f>VLOOKUP($A72,[0]!Data,205,FALSE)/'Table 9'!$N72</f>
        <v>9.267698866623772E-2</v>
      </c>
      <c r="E72" s="248">
        <f>VLOOKUP($A72,[0]!Data,203,FALSE)/'Table 9'!$N72</f>
        <v>2.3458873895631002E-2</v>
      </c>
      <c r="F72" s="248">
        <f>VLOOKUP($A72,[0]!Data,206,FALSE)/'Table 9'!$N72</f>
        <v>9.4765865752218549E-3</v>
      </c>
      <c r="G72" s="461">
        <f>VLOOKUP($A72,[0]!Data,204,FALSE)/'Table 9'!$N72</f>
        <v>0.20102412011399709</v>
      </c>
      <c r="H72" s="248">
        <f>VLOOKUP($A72,[0]!Data,207,FALSE)/'Table 9'!$N72</f>
        <v>5.5285732363514521E-2</v>
      </c>
      <c r="I72" s="443">
        <f>'Table 9'!M72/'Table 1'!D72</f>
        <v>0.57362773730436367</v>
      </c>
      <c r="J72" s="444">
        <f>'Table 9'!N72/'Table 1'!D72</f>
        <v>3.0010965264182632</v>
      </c>
      <c r="K72" s="159">
        <f>'Table 6'!L72/'Table 9'!N72</f>
        <v>6.1348555520107224</v>
      </c>
    </row>
    <row r="73" spans="1:11" x14ac:dyDescent="0.25">
      <c r="A73" s="40" t="s">
        <v>1071</v>
      </c>
      <c r="B73" s="40" t="s">
        <v>1987</v>
      </c>
      <c r="C73" s="248">
        <f>VLOOKUP($A73,[0]!Data,202,FALSE)/'Table 9'!$N73</f>
        <v>0.21621519765794564</v>
      </c>
      <c r="D73" s="248">
        <f>VLOOKUP($A73,[0]!Data,205,FALSE)/'Table 9'!$N73</f>
        <v>6.956614093781531E-2</v>
      </c>
      <c r="E73" s="248">
        <f>VLOOKUP($A73,[0]!Data,203,FALSE)/'Table 9'!$N73</f>
        <v>1.6063080610044179E-2</v>
      </c>
      <c r="F73" s="248">
        <f>VLOOKUP($A73,[0]!Data,206,FALSE)/'Table 9'!$N73</f>
        <v>1.5006141211900076E-3</v>
      </c>
      <c r="G73" s="461">
        <f>VLOOKUP($A73,[0]!Data,204,FALSE)/'Table 9'!$N73</f>
        <v>0.20638411952836863</v>
      </c>
      <c r="H73" s="248">
        <f>VLOOKUP($A73,[0]!Data,207,FALSE)/'Table 9'!$N73</f>
        <v>3.437194331241724E-2</v>
      </c>
      <c r="I73" s="443">
        <f>'Table 9'!M73/'Table 1'!D73</f>
        <v>1.490752615890818</v>
      </c>
      <c r="J73" s="444">
        <f>'Table 9'!N73/'Table 1'!D73</f>
        <v>5.1633306503683913</v>
      </c>
      <c r="K73" s="159">
        <f>'Table 6'!L73/'Table 9'!N73</f>
        <v>4.6888641070575119</v>
      </c>
    </row>
    <row r="74" spans="1:11" x14ac:dyDescent="0.25">
      <c r="A74" s="40" t="s">
        <v>1111</v>
      </c>
      <c r="B74" s="40" t="s">
        <v>1988</v>
      </c>
      <c r="C74" s="248">
        <f>VLOOKUP($A74,[0]!Data,202,FALSE)/'Table 9'!$N74</f>
        <v>0.30986182802546181</v>
      </c>
      <c r="D74" s="248">
        <f>VLOOKUP($A74,[0]!Data,205,FALSE)/'Table 9'!$N74</f>
        <v>0.10631725364159193</v>
      </c>
      <c r="E74" s="248">
        <f>VLOOKUP($A74,[0]!Data,203,FALSE)/'Table 9'!$N74</f>
        <v>1.8277257936834955E-2</v>
      </c>
      <c r="F74" s="248">
        <f>VLOOKUP($A74,[0]!Data,206,FALSE)/'Table 9'!$N74</f>
        <v>3.8232657332004805E-3</v>
      </c>
      <c r="G74" s="461">
        <f>VLOOKUP($A74,[0]!Data,204,FALSE)/'Table 9'!$N74</f>
        <v>0.2083517504363917</v>
      </c>
      <c r="H74" s="248">
        <f>VLOOKUP($A74,[0]!Data,207,FALSE)/'Table 9'!$N74</f>
        <v>5.333593045701885E-2</v>
      </c>
      <c r="I74" s="443">
        <f>'Table 9'!M74/'Table 1'!D74</f>
        <v>0.65176684442789723</v>
      </c>
      <c r="J74" s="444">
        <f>'Table 9'!N74/'Table 1'!D74</f>
        <v>4.3850045444092816</v>
      </c>
      <c r="K74" s="159">
        <f>'Table 6'!L74/'Table 9'!N74</f>
        <v>8.0359426934669855</v>
      </c>
    </row>
    <row r="75" spans="1:11" x14ac:dyDescent="0.25">
      <c r="A75" s="40" t="s">
        <v>1425</v>
      </c>
      <c r="B75" s="40" t="s">
        <v>1989</v>
      </c>
      <c r="C75" s="248">
        <f>VLOOKUP($A75,[0]!Data,202,FALSE)/'Table 9'!$N75</f>
        <v>0.3250054574304137</v>
      </c>
      <c r="D75" s="248">
        <f>VLOOKUP($A75,[0]!Data,205,FALSE)/'Table 9'!$N75</f>
        <v>4.5145167649004142E-2</v>
      </c>
      <c r="E75" s="248">
        <f>VLOOKUP($A75,[0]!Data,203,FALSE)/'Table 9'!$N75</f>
        <v>1.7310643455482031E-2</v>
      </c>
      <c r="F75" s="248">
        <f>VLOOKUP($A75,[0]!Data,206,FALSE)/'Table 9'!$N75</f>
        <v>5.1804861837410931E-4</v>
      </c>
      <c r="G75" s="461">
        <f>VLOOKUP($A75,[0]!Data,204,FALSE)/'Table 9'!$N75</f>
        <v>0.15682863016867532</v>
      </c>
      <c r="H75" s="248">
        <f>VLOOKUP($A75,[0]!Data,207,FALSE)/'Table 9'!$N75</f>
        <v>3.2936814359395411E-2</v>
      </c>
      <c r="I75" s="443">
        <f>'Table 9'!M75/'Table 1'!D75</f>
        <v>1.376133426332417</v>
      </c>
      <c r="J75" s="444">
        <f>'Table 9'!N75/'Table 1'!D75</f>
        <v>6.2963320067287576</v>
      </c>
      <c r="K75" s="159">
        <f>'Table 6'!L75/'Table 9'!N75</f>
        <v>3.5917711723863794</v>
      </c>
    </row>
    <row r="76" spans="1:11" x14ac:dyDescent="0.25">
      <c r="A76" s="40" t="s">
        <v>1442</v>
      </c>
      <c r="B76" s="40" t="s">
        <v>1990</v>
      </c>
      <c r="C76" s="248">
        <f>VLOOKUP($A76,[0]!Data,202,FALSE)/'Table 9'!$N76</f>
        <v>0.34656232532140863</v>
      </c>
      <c r="D76" s="248">
        <f>VLOOKUP($A76,[0]!Data,205,FALSE)/'Table 9'!$N76</f>
        <v>9.9945110006596866E-2</v>
      </c>
      <c r="E76" s="248">
        <f>VLOOKUP($A76,[0]!Data,203,FALSE)/'Table 9'!$N76</f>
        <v>4.1313532649474516E-2</v>
      </c>
      <c r="F76" s="248">
        <f>VLOOKUP($A76,[0]!Data,206,FALSE)/'Table 9'!$N76</f>
        <v>8.9636869961073429E-4</v>
      </c>
      <c r="G76" s="461">
        <f>VLOOKUP($A76,[0]!Data,204,FALSE)/'Table 9'!$N76</f>
        <v>0.18251174595501035</v>
      </c>
      <c r="H76" s="248">
        <f>VLOOKUP($A76,[0]!Data,207,FALSE)/'Table 9'!$N76</f>
        <v>3.0652788059160333E-2</v>
      </c>
      <c r="I76" s="443">
        <f>'Table 9'!M76/'Table 1'!D76</f>
        <v>0.11284438575680938</v>
      </c>
      <c r="J76" s="444">
        <f>'Table 9'!N76/'Table 1'!D76</f>
        <v>2.2221861641413576</v>
      </c>
      <c r="K76" s="159">
        <f>'Table 6'!L76/'Table 9'!N76</f>
        <v>9.1251542207383451</v>
      </c>
    </row>
    <row r="77" spans="1:11" x14ac:dyDescent="0.25">
      <c r="A77" s="40" t="s">
        <v>1472</v>
      </c>
      <c r="B77" s="40" t="s">
        <v>1991</v>
      </c>
      <c r="C77" s="248">
        <f>VLOOKUP($A77,[0]!Data,202,FALSE)/'Table 9'!$N77</f>
        <v>0.34371820388229046</v>
      </c>
      <c r="D77" s="248">
        <f>VLOOKUP($A77,[0]!Data,205,FALSE)/'Table 9'!$N77</f>
        <v>7.0694712600320633E-2</v>
      </c>
      <c r="E77" s="248">
        <f>VLOOKUP($A77,[0]!Data,203,FALSE)/'Table 9'!$N77</f>
        <v>3.6559641451466403E-2</v>
      </c>
      <c r="F77" s="248">
        <f>VLOOKUP($A77,[0]!Data,206,FALSE)/'Table 9'!$N77</f>
        <v>3.9458206562470531E-4</v>
      </c>
      <c r="G77" s="461">
        <f>VLOOKUP($A77,[0]!Data,204,FALSE)/'Table 9'!$N77</f>
        <v>0.30793283667280463</v>
      </c>
      <c r="H77" s="248">
        <f>VLOOKUP($A77,[0]!Data,207,FALSE)/'Table 9'!$N77</f>
        <v>6.7490904759304943E-2</v>
      </c>
      <c r="I77" s="443">
        <f>'Table 9'!M77/'Table 1'!D77</f>
        <v>0.12329620640751005</v>
      </c>
      <c r="J77" s="444">
        <f>'Table 9'!N77/'Table 1'!D77</f>
        <v>2.3911441304051126</v>
      </c>
      <c r="K77" s="159">
        <f>'Table 6'!L77/'Table 9'!N77</f>
        <v>5.3474009698281213</v>
      </c>
    </row>
    <row r="78" spans="1:11" x14ac:dyDescent="0.25">
      <c r="A78" s="40" t="s">
        <v>1558</v>
      </c>
      <c r="B78" s="40" t="s">
        <v>1992</v>
      </c>
      <c r="C78" s="248">
        <f>VLOOKUP($A78,[0]!Data,202,FALSE)/'Table 9'!$N78</f>
        <v>0.27634140559335063</v>
      </c>
      <c r="D78" s="248">
        <f>VLOOKUP($A78,[0]!Data,205,FALSE)/'Table 9'!$N78</f>
        <v>6.4424824534306507E-2</v>
      </c>
      <c r="E78" s="248">
        <f>VLOOKUP($A78,[0]!Data,203,FALSE)/'Table 9'!$N78</f>
        <v>2.4611892155947154E-2</v>
      </c>
      <c r="F78" s="248">
        <f>VLOOKUP($A78,[0]!Data,206,FALSE)/'Table 9'!$N78</f>
        <v>3.9511210407971206E-4</v>
      </c>
      <c r="G78" s="461">
        <f>VLOOKUP($A78,[0]!Data,204,FALSE)/'Table 9'!$N78</f>
        <v>0.22058031192304653</v>
      </c>
      <c r="H78" s="248">
        <f>VLOOKUP($A78,[0]!Data,207,FALSE)/'Table 9'!$N78</f>
        <v>3.9432187987155268E-2</v>
      </c>
      <c r="I78" s="443">
        <f>'Table 9'!M78/'Table 1'!D78</f>
        <v>0.36322195275307645</v>
      </c>
      <c r="J78" s="444">
        <f>'Table 9'!N78/'Table 1'!D78</f>
        <v>3.12586454684272</v>
      </c>
      <c r="K78" s="159">
        <f>'Table 6'!L78/'Table 9'!N78</f>
        <v>8.0292239279890225</v>
      </c>
    </row>
    <row r="79" spans="1:11" x14ac:dyDescent="0.25">
      <c r="A79" s="40" t="s">
        <v>1696</v>
      </c>
      <c r="B79" s="40" t="s">
        <v>1993</v>
      </c>
      <c r="C79" s="248">
        <f>VLOOKUP($A79,[0]!Data,202,FALSE)/'Table 9'!$N79</f>
        <v>0.29547544833177253</v>
      </c>
      <c r="D79" s="248">
        <f>VLOOKUP($A79,[0]!Data,205,FALSE)/'Table 9'!$N79</f>
        <v>6.2449156451364916E-2</v>
      </c>
      <c r="E79" s="248">
        <f>VLOOKUP($A79,[0]!Data,203,FALSE)/'Table 9'!$N79</f>
        <v>4.872314552087556E-2</v>
      </c>
      <c r="F79" s="248">
        <f>VLOOKUP($A79,[0]!Data,206,FALSE)/'Table 9'!$N79</f>
        <v>1.2244384496037349E-3</v>
      </c>
      <c r="G79" s="461">
        <f>VLOOKUP($A79,[0]!Data,204,FALSE)/'Table 9'!$N79</f>
        <v>0.3114127168276421</v>
      </c>
      <c r="H79" s="248">
        <f>VLOOKUP($A79,[0]!Data,207,FALSE)/'Table 9'!$N79</f>
        <v>5.5454761472121659E-2</v>
      </c>
      <c r="I79" s="443">
        <f>'Table 9'!M79/'Table 1'!D79</f>
        <v>8.0603603758352377E-2</v>
      </c>
      <c r="J79" s="444">
        <f>'Table 9'!N79/'Table 1'!D79</f>
        <v>1.5361277633680883</v>
      </c>
      <c r="K79" s="159">
        <f>'Table 6'!L79/'Table 9'!N79</f>
        <v>7.6542722558461342</v>
      </c>
    </row>
    <row r="80" spans="1:11" ht="13.5" customHeight="1" thickBot="1" x14ac:dyDescent="0.3">
      <c r="A80" s="648" t="s">
        <v>2068</v>
      </c>
      <c r="B80" s="649"/>
      <c r="C80" s="265">
        <f t="shared" ref="C80:K80" si="1">AVERAGE(C68:C79)</f>
        <v>0.31196308441960124</v>
      </c>
      <c r="D80" s="265">
        <f t="shared" si="1"/>
        <v>7.2977323738896899E-2</v>
      </c>
      <c r="E80" s="265">
        <f t="shared" si="1"/>
        <v>2.8395147512341751E-2</v>
      </c>
      <c r="F80" s="265">
        <f t="shared" si="1"/>
        <v>1.9431488531080354E-3</v>
      </c>
      <c r="G80" s="265">
        <f t="shared" si="1"/>
        <v>0.24565909683484624</v>
      </c>
      <c r="H80" s="265">
        <f t="shared" si="1"/>
        <v>5.1402080785158226E-2</v>
      </c>
      <c r="I80" s="446">
        <f t="shared" si="1"/>
        <v>0.48863420281951431</v>
      </c>
      <c r="J80" s="447">
        <f t="shared" si="1"/>
        <v>3.4059418431915542</v>
      </c>
      <c r="K80" s="448">
        <f t="shared" si="1"/>
        <v>6.6893807535586616</v>
      </c>
    </row>
    <row r="81" spans="1:11" ht="16.5" thickTop="1" thickBot="1" x14ac:dyDescent="0.3">
      <c r="A81" s="58"/>
      <c r="B81" s="49" t="s">
        <v>1867</v>
      </c>
      <c r="C81" s="269"/>
      <c r="D81" s="269"/>
      <c r="E81" s="269"/>
      <c r="F81" s="269"/>
      <c r="G81" s="269"/>
      <c r="H81" s="269"/>
      <c r="I81" s="449"/>
      <c r="J81" s="269"/>
      <c r="K81" s="450"/>
    </row>
    <row r="82" spans="1:11" ht="15.75" thickTop="1" x14ac:dyDescent="0.25">
      <c r="A82" s="55" t="s">
        <v>897</v>
      </c>
      <c r="B82" s="40" t="s">
        <v>1994</v>
      </c>
      <c r="C82" s="248">
        <f>VLOOKUP($A82,[0]!Data,202,FALSE)/'Table 9'!$N82</f>
        <v>0.11914729486198805</v>
      </c>
      <c r="D82" s="248">
        <f>VLOOKUP($A82,[0]!Data,205,FALSE)/'Table 9'!$N82</f>
        <v>9.7202810802401104E-2</v>
      </c>
      <c r="E82" s="248">
        <f>VLOOKUP($A82,[0]!Data,203,FALSE)/'Table 9'!$N82</f>
        <v>2.4180938922093581E-2</v>
      </c>
      <c r="F82" s="248">
        <f>VLOOKUP($A82,[0]!Data,206,FALSE)/'Table 9'!$N82</f>
        <v>1.9097379782448043E-3</v>
      </c>
      <c r="G82" s="461">
        <f>VLOOKUP($A82,[0]!Data,204,FALSE)/'Table 9'!$N82</f>
        <v>0.35702117177269838</v>
      </c>
      <c r="H82" s="248">
        <f>VLOOKUP($A82,[0]!Data,207,FALSE)/'Table 9'!$N82</f>
        <v>7.1333186397168458E-2</v>
      </c>
      <c r="I82" s="443">
        <f>'Table 9'!M82/'Table 1'!D82</f>
        <v>3.5671990910913585</v>
      </c>
      <c r="J82" s="444">
        <f>'Table 9'!N82/'Table 1'!D82</f>
        <v>25.773908975472832</v>
      </c>
      <c r="K82" s="159">
        <f>'Table 6'!L82/'Table 9'!N82</f>
        <v>1.8901628398439019</v>
      </c>
    </row>
    <row r="83" spans="1:11" x14ac:dyDescent="0.25">
      <c r="A83" s="55" t="s">
        <v>1312</v>
      </c>
      <c r="B83" s="40" t="s">
        <v>1868</v>
      </c>
      <c r="C83" s="248">
        <f>VLOOKUP($A83,[0]!Data,202,FALSE)/'Table 9'!$N83</f>
        <v>0.32670000409886463</v>
      </c>
      <c r="D83" s="248">
        <f>VLOOKUP($A83,[0]!Data,205,FALSE)/'Table 9'!$N83</f>
        <v>7.1258761323113498E-2</v>
      </c>
      <c r="E83" s="248">
        <f>VLOOKUP($A83,[0]!Data,203,FALSE)/'Table 9'!$N83</f>
        <v>3.2210244428959846E-2</v>
      </c>
      <c r="F83" s="248">
        <f>VLOOKUP($A83,[0]!Data,206,FALSE)/'Table 9'!$N83</f>
        <v>5.9433536910275852E-3</v>
      </c>
      <c r="G83" s="461">
        <f>VLOOKUP($A83,[0]!Data,204,FALSE)/'Table 9'!$N83</f>
        <v>0.33125657526198576</v>
      </c>
      <c r="H83" s="248">
        <f>VLOOKUP($A83,[0]!Data,207,FALSE)/'Table 9'!$N83</f>
        <v>0.11715238212348512</v>
      </c>
      <c r="I83" s="443">
        <f>'Table 9'!M83/'Table 1'!D83</f>
        <v>0.21866474494260565</v>
      </c>
      <c r="J83" s="444">
        <f>'Table 9'!N83/'Table 1'!D83</f>
        <v>7.5349770937355229</v>
      </c>
      <c r="K83" s="159">
        <f>'Table 6'!L83/'Table 9'!N83</f>
        <v>3.5983454249839459</v>
      </c>
    </row>
    <row r="84" spans="1:11" x14ac:dyDescent="0.25">
      <c r="A84" s="55" t="s">
        <v>1100</v>
      </c>
      <c r="B84" s="40" t="s">
        <v>1995</v>
      </c>
      <c r="C84" s="248">
        <f>VLOOKUP($A84,[0]!Data,202,FALSE)/'Table 9'!$N84</f>
        <v>0.21664068364224262</v>
      </c>
      <c r="D84" s="248">
        <f>VLOOKUP($A84,[0]!Data,205,FALSE)/'Table 9'!$N84</f>
        <v>6.1406547722154856E-2</v>
      </c>
      <c r="E84" s="248">
        <f>VLOOKUP($A84,[0]!Data,203,FALSE)/'Table 9'!$N84</f>
        <v>2.1739130434782608E-2</v>
      </c>
      <c r="F84" s="248">
        <f>VLOOKUP($A84,[0]!Data,206,FALSE)/'Table 9'!$N84</f>
        <v>3.0890929037473295E-3</v>
      </c>
      <c r="G84" s="461">
        <f>VLOOKUP($A84,[0]!Data,204,FALSE)/'Table 9'!$N84</f>
        <v>0.13225359431837866</v>
      </c>
      <c r="H84" s="248">
        <f>VLOOKUP($A84,[0]!Data,207,FALSE)/'Table 9'!$N84</f>
        <v>1.8476817368208324E-2</v>
      </c>
      <c r="I84" s="443">
        <f>'Table 9'!M84/'Table 1'!D84</f>
        <v>2.390578158458244</v>
      </c>
      <c r="J84" s="444">
        <f>'Table 9'!N84/'Table 1'!D84</f>
        <v>7.4171306209850103</v>
      </c>
      <c r="K84" s="159">
        <f>'Table 6'!L84/'Table 9'!N84</f>
        <v>9.9820428431202721</v>
      </c>
    </row>
    <row r="85" spans="1:11" x14ac:dyDescent="0.25">
      <c r="A85" s="55" t="s">
        <v>1281</v>
      </c>
      <c r="B85" s="40" t="s">
        <v>1996</v>
      </c>
      <c r="C85" s="248">
        <f>VLOOKUP($A85,[0]!Data,202,FALSE)/'Table 9'!$N85</f>
        <v>0.21837676975401407</v>
      </c>
      <c r="D85" s="248">
        <f>VLOOKUP($A85,[0]!Data,205,FALSE)/'Table 9'!$N85</f>
        <v>4.6376947718104883E-2</v>
      </c>
      <c r="E85" s="248">
        <f>VLOOKUP($A85,[0]!Data,203,FALSE)/'Table 9'!$N85</f>
        <v>2.2492683698489283E-2</v>
      </c>
      <c r="F85" s="248">
        <f>VLOOKUP($A85,[0]!Data,206,FALSE)/'Table 9'!$N85</f>
        <v>2.0564739381475914E-3</v>
      </c>
      <c r="G85" s="461">
        <f>VLOOKUP($A85,[0]!Data,204,FALSE)/'Table 9'!$N85</f>
        <v>0.21006436367950646</v>
      </c>
      <c r="H85" s="248">
        <f>VLOOKUP($A85,[0]!Data,207,FALSE)/'Table 9'!$N85</f>
        <v>3.9938108043976905E-2</v>
      </c>
      <c r="I85" s="443">
        <f>'Table 9'!M85/'Table 1'!D85</f>
        <v>1.6290262774083504</v>
      </c>
      <c r="J85" s="444">
        <f>'Table 9'!N85/'Table 1'!D85</f>
        <v>10.001137122092304</v>
      </c>
      <c r="K85" s="159">
        <f>'Table 6'!L85/'Table 9'!N85</f>
        <v>4.6304748675156215</v>
      </c>
    </row>
    <row r="86" spans="1:11" x14ac:dyDescent="0.25">
      <c r="A86" s="55" t="s">
        <v>1297</v>
      </c>
      <c r="B86" s="40" t="s">
        <v>1997</v>
      </c>
      <c r="C86" s="248">
        <f>VLOOKUP($A86,[0]!Data,202,FALSE)/'Table 9'!$N86</f>
        <v>0.16118752531168312</v>
      </c>
      <c r="D86" s="248">
        <f>VLOOKUP($A86,[0]!Data,205,FALSE)/'Table 9'!$N86</f>
        <v>8.6870378274155696E-2</v>
      </c>
      <c r="E86" s="248">
        <f>VLOOKUP($A86,[0]!Data,203,FALSE)/'Table 9'!$N86</f>
        <v>2.4610114855384214E-2</v>
      </c>
      <c r="F86" s="248">
        <f>VLOOKUP($A86,[0]!Data,206,FALSE)/'Table 9'!$N86</f>
        <v>2.1135681530277888E-4</v>
      </c>
      <c r="G86" s="461">
        <f>VLOOKUP($A86,[0]!Data,204,FALSE)/'Table 9'!$N86</f>
        <v>0.16038846019060293</v>
      </c>
      <c r="H86" s="248">
        <f>VLOOKUP($A86,[0]!Data,207,FALSE)/'Table 9'!$N86</f>
        <v>3.7576514576120497E-2</v>
      </c>
      <c r="I86" s="443">
        <f>'Table 9'!M86/'Table 1'!D86</f>
        <v>1.388910054061899</v>
      </c>
      <c r="J86" s="444">
        <f>'Table 9'!N86/'Table 1'!D86</f>
        <v>6.6521261928086792</v>
      </c>
      <c r="K86" s="159">
        <f>'Table 6'!L86/'Table 9'!N86</f>
        <v>5.918035827025582</v>
      </c>
    </row>
    <row r="87" spans="1:11" x14ac:dyDescent="0.25">
      <c r="A87" s="55" t="s">
        <v>1341</v>
      </c>
      <c r="B87" s="40" t="s">
        <v>1998</v>
      </c>
      <c r="C87" s="248">
        <f>VLOOKUP($A87,[0]!Data,202,FALSE)/'Table 9'!$N87</f>
        <v>0.19306319105565509</v>
      </c>
      <c r="D87" s="248">
        <f>VLOOKUP($A87,[0]!Data,205,FALSE)/'Table 9'!$N87</f>
        <v>7.0665266539007968E-2</v>
      </c>
      <c r="E87" s="248">
        <f>VLOOKUP($A87,[0]!Data,203,FALSE)/'Table 9'!$N87</f>
        <v>3.4138406737084855E-2</v>
      </c>
      <c r="F87" s="248">
        <f>VLOOKUP($A87,[0]!Data,206,FALSE)/'Table 9'!$N87</f>
        <v>3.1914674573269914E-4</v>
      </c>
      <c r="G87" s="461">
        <f>VLOOKUP($A87,[0]!Data,204,FALSE)/'Table 9'!$N87</f>
        <v>0.26926719789157244</v>
      </c>
      <c r="H87" s="248">
        <f>VLOOKUP($A87,[0]!Data,207,FALSE)/'Table 9'!$N87</f>
        <v>5.9031852904235384E-2</v>
      </c>
      <c r="I87" s="443">
        <f>'Table 9'!M87/'Table 1'!D87</f>
        <v>2.0261218397238547</v>
      </c>
      <c r="J87" s="444">
        <f>'Table 9'!N87/'Table 1'!D87</f>
        <v>9.0618527847746986</v>
      </c>
      <c r="K87" s="159">
        <f>'Table 6'!L87/'Table 9'!N87</f>
        <v>6.4769287788004197</v>
      </c>
    </row>
    <row r="88" spans="1:11" x14ac:dyDescent="0.25">
      <c r="A88" s="55" t="s">
        <v>1409</v>
      </c>
      <c r="B88" s="40" t="s">
        <v>1999</v>
      </c>
      <c r="C88" s="248">
        <f>VLOOKUP($A88,[0]!Data,202,FALSE)/'Table 9'!$N88</f>
        <v>0.14378227261415952</v>
      </c>
      <c r="D88" s="248">
        <f>VLOOKUP($A88,[0]!Data,205,FALSE)/'Table 9'!$N88</f>
        <v>7.1964041308946125E-2</v>
      </c>
      <c r="E88" s="248">
        <f>VLOOKUP($A88,[0]!Data,203,FALSE)/'Table 9'!$N88</f>
        <v>2.4527186761229315E-2</v>
      </c>
      <c r="F88" s="248">
        <f>VLOOKUP($A88,[0]!Data,206,FALSE)/'Table 9'!$N88</f>
        <v>2.2882449919124051E-3</v>
      </c>
      <c r="G88" s="461">
        <f>VLOOKUP($A88,[0]!Data,204,FALSE)/'Table 9'!$N88</f>
        <v>0.30088769130272491</v>
      </c>
      <c r="H88" s="248">
        <f>VLOOKUP($A88,[0]!Data,207,FALSE)/'Table 9'!$N88</f>
        <v>0.10105994152046784</v>
      </c>
      <c r="I88" s="443">
        <f>'Table 9'!M88/'Table 1'!D88</f>
        <v>1.8336234258216444</v>
      </c>
      <c r="J88" s="444">
        <f>'Table 9'!N88/'Table 1'!D88</f>
        <v>13.165967031841916</v>
      </c>
      <c r="K88" s="159">
        <f>'Table 6'!L88/'Table 9'!N88</f>
        <v>4.4668603023516233</v>
      </c>
    </row>
    <row r="89" spans="1:11" x14ac:dyDescent="0.25">
      <c r="A89" s="55" t="s">
        <v>1245</v>
      </c>
      <c r="B89" s="40" t="s">
        <v>2000</v>
      </c>
      <c r="C89" s="248">
        <f>VLOOKUP($A89,[0]!Data,202,FALSE)/'Table 9'!$N89</f>
        <v>0.31836425117719558</v>
      </c>
      <c r="D89" s="248">
        <f>VLOOKUP($A89,[0]!Data,205,FALSE)/'Table 9'!$N89</f>
        <v>2.3543911765635368E-2</v>
      </c>
      <c r="E89" s="248">
        <f>VLOOKUP($A89,[0]!Data,203,FALSE)/'Table 9'!$N89</f>
        <v>1.9941219227001233E-2</v>
      </c>
      <c r="F89" s="248">
        <f>VLOOKUP($A89,[0]!Data,206,FALSE)/'Table 9'!$N89</f>
        <v>6.952564548241317E-4</v>
      </c>
      <c r="G89" s="461">
        <f>VLOOKUP($A89,[0]!Data,204,FALSE)/'Table 9'!$N89</f>
        <v>0.33779982934614289</v>
      </c>
      <c r="H89" s="248">
        <f>VLOOKUP($A89,[0]!Data,207,FALSE)/'Table 9'!$N89</f>
        <v>8.5642954207881677E-2</v>
      </c>
      <c r="I89" s="443">
        <f>'Table 9'!M89/'Table 1'!D89</f>
        <v>9.1378321544637736E-2</v>
      </c>
      <c r="J89" s="444">
        <f>'Table 9'!N89/'Table 1'!D89</f>
        <v>6.049130185432996</v>
      </c>
      <c r="K89" s="159">
        <f>'Table 6'!L89/'Table 9'!N89</f>
        <v>6.3334702777865566</v>
      </c>
    </row>
    <row r="90" spans="1:11" x14ac:dyDescent="0.25">
      <c r="A90" s="55" t="s">
        <v>1613</v>
      </c>
      <c r="B90" s="40" t="s">
        <v>2001</v>
      </c>
      <c r="C90" s="248">
        <f>VLOOKUP($A90,[0]!Data,202,FALSE)/'Table 9'!$N90</f>
        <v>0.44973897200518553</v>
      </c>
      <c r="D90" s="248">
        <f>VLOOKUP($A90,[0]!Data,205,FALSE)/'Table 9'!$N90</f>
        <v>6.44336218072247E-2</v>
      </c>
      <c r="E90" s="248">
        <f>VLOOKUP($A90,[0]!Data,203,FALSE)/'Table 9'!$N90</f>
        <v>2.8660523457482219E-2</v>
      </c>
      <c r="F90" s="248">
        <f>VLOOKUP($A90,[0]!Data,206,FALSE)/'Table 9'!$N90</f>
        <v>5.9213061910935146E-3</v>
      </c>
      <c r="G90" s="461">
        <f>VLOOKUP($A90,[0]!Data,204,FALSE)/'Table 9'!$N90</f>
        <v>0.25980168879857046</v>
      </c>
      <c r="H90" s="248">
        <f>VLOOKUP($A90,[0]!Data,207,FALSE)/'Table 9'!$N90</f>
        <v>2.9256157808065592E-2</v>
      </c>
      <c r="I90" s="443">
        <f>'Table 9'!M90/'Table 1'!D90</f>
        <v>2.7216740613204424E-2</v>
      </c>
      <c r="J90" s="444">
        <f>'Table 9'!N90/'Table 1'!D90</f>
        <v>1.8900072842858089</v>
      </c>
      <c r="K90" s="159">
        <f>'Table 6'!L90/'Table 9'!N90</f>
        <v>10.300935496303563</v>
      </c>
    </row>
    <row r="91" spans="1:11" x14ac:dyDescent="0.25">
      <c r="A91" s="55" t="s">
        <v>1742</v>
      </c>
      <c r="B91" s="40" t="s">
        <v>2002</v>
      </c>
      <c r="C91" s="248">
        <f>VLOOKUP($A91,[0]!Data,202,FALSE)/'Table 9'!$N91</f>
        <v>0.26624046807594354</v>
      </c>
      <c r="D91" s="248">
        <f>VLOOKUP($A91,[0]!Data,205,FALSE)/'Table 9'!$N91</f>
        <v>7.5750488197863064E-2</v>
      </c>
      <c r="E91" s="248">
        <f>VLOOKUP($A91,[0]!Data,203,FALSE)/'Table 9'!$N91</f>
        <v>1.8874509017738475E-2</v>
      </c>
      <c r="F91" s="248">
        <f>VLOOKUP($A91,[0]!Data,206,FALSE)/'Table 9'!$N91</f>
        <v>1.0692090080858931E-3</v>
      </c>
      <c r="G91" s="461">
        <f>VLOOKUP($A91,[0]!Data,204,FALSE)/'Table 9'!$N91</f>
        <v>0.2806599395599908</v>
      </c>
      <c r="H91" s="248">
        <f>VLOOKUP($A91,[0]!Data,207,FALSE)/'Table 9'!$N91</f>
        <v>7.173352935498481E-2</v>
      </c>
      <c r="I91" s="443">
        <f>'Table 9'!M91/'Table 1'!D91</f>
        <v>1.7622128525734224</v>
      </c>
      <c r="J91" s="444">
        <f>'Table 9'!N91/'Table 1'!D91</f>
        <v>9.790564117476011</v>
      </c>
      <c r="K91" s="159">
        <f>'Table 6'!L91/'Table 9'!N91</f>
        <v>5.9471112794125292</v>
      </c>
    </row>
    <row r="92" spans="1:11" x14ac:dyDescent="0.25">
      <c r="A92" s="55" t="s">
        <v>1178</v>
      </c>
      <c r="B92" s="40" t="s">
        <v>2003</v>
      </c>
      <c r="C92" s="248">
        <f>VLOOKUP($A92,[0]!Data,202,FALSE)/'Table 9'!$N92</f>
        <v>0.29199534959693302</v>
      </c>
      <c r="D92" s="248">
        <f>VLOOKUP($A92,[0]!Data,205,FALSE)/'Table 9'!$N92</f>
        <v>7.2283021224670202E-2</v>
      </c>
      <c r="E92" s="248">
        <f>VLOOKUP($A92,[0]!Data,203,FALSE)/'Table 9'!$N92</f>
        <v>4.4121179511323348E-2</v>
      </c>
      <c r="F92" s="248">
        <f>VLOOKUP($A92,[0]!Data,206,FALSE)/'Table 9'!$N92</f>
        <v>2.44050078307407E-3</v>
      </c>
      <c r="G92" s="461">
        <f>VLOOKUP($A92,[0]!Data,204,FALSE)/'Table 9'!$N92</f>
        <v>0.14630513946405066</v>
      </c>
      <c r="H92" s="248">
        <f>VLOOKUP($A92,[0]!Data,207,FALSE)/'Table 9'!$N92</f>
        <v>3.8461908010415366E-2</v>
      </c>
      <c r="I92" s="443">
        <f>'Table 9'!M92/'Table 1'!D92</f>
        <v>0.90837778475054909</v>
      </c>
      <c r="J92" s="444">
        <f>'Table 9'!N92/'Table 1'!D92</f>
        <v>10.885576822508106</v>
      </c>
      <c r="K92" s="159">
        <f>'Table 6'!L92/'Table 9'!N92</f>
        <v>4.0991381381092848</v>
      </c>
    </row>
    <row r="93" spans="1:11" ht="15.95" customHeight="1" thickBot="1" x14ac:dyDescent="0.3">
      <c r="A93" s="648" t="s">
        <v>2068</v>
      </c>
      <c r="B93" s="649"/>
      <c r="C93" s="265">
        <f t="shared" ref="C93:K93" si="2">AVERAGE(C82:C92)</f>
        <v>0.24593061656307863</v>
      </c>
      <c r="D93" s="265">
        <f t="shared" si="2"/>
        <v>6.7432345153025222E-2</v>
      </c>
      <c r="E93" s="265">
        <f t="shared" si="2"/>
        <v>2.6863285186506269E-2</v>
      </c>
      <c r="F93" s="265">
        <f t="shared" si="2"/>
        <v>2.358516318290255E-3</v>
      </c>
      <c r="G93" s="265">
        <f t="shared" si="2"/>
        <v>0.25324596832602037</v>
      </c>
      <c r="H93" s="265">
        <f t="shared" si="2"/>
        <v>6.0878486574091811E-2</v>
      </c>
      <c r="I93" s="446">
        <f t="shared" si="2"/>
        <v>1.4403008446354335</v>
      </c>
      <c r="J93" s="447">
        <f t="shared" si="2"/>
        <v>9.8383980210376265</v>
      </c>
      <c r="K93" s="448">
        <f t="shared" si="2"/>
        <v>5.785773279568482</v>
      </c>
    </row>
    <row r="94" spans="1:11" ht="17.25" thickTop="1" thickBot="1" x14ac:dyDescent="0.3">
      <c r="A94" s="142"/>
      <c r="B94" s="18"/>
      <c r="C94" s="275"/>
      <c r="D94" s="275"/>
      <c r="E94" s="275"/>
      <c r="F94" s="275"/>
      <c r="G94" s="275"/>
      <c r="H94" s="275"/>
      <c r="I94" s="451"/>
      <c r="J94" s="275"/>
      <c r="K94" s="452"/>
    </row>
    <row r="95" spans="1:11" ht="13.5" customHeight="1" thickTop="1" thickBot="1" x14ac:dyDescent="0.3">
      <c r="A95" s="691" t="s">
        <v>2068</v>
      </c>
      <c r="B95" s="692"/>
      <c r="C95" s="278">
        <f t="shared" ref="C95:K95" si="3">AVERAGE(C82:C92,C68:C79,C8:C57,C59:C65)</f>
        <v>0.25496691890404088</v>
      </c>
      <c r="D95" s="278">
        <f t="shared" si="3"/>
        <v>7.6013083616049679E-2</v>
      </c>
      <c r="E95" s="278">
        <f t="shared" si="3"/>
        <v>2.7450847356926565E-2</v>
      </c>
      <c r="F95" s="278">
        <f t="shared" si="3"/>
        <v>2.904112894123183E-3</v>
      </c>
      <c r="G95" s="278">
        <f t="shared" si="3"/>
        <v>0.2354270588117382</v>
      </c>
      <c r="H95" s="278">
        <f t="shared" si="3"/>
        <v>5.1694471418992249E-2</v>
      </c>
      <c r="I95" s="453">
        <f t="shared" si="3"/>
        <v>0.87908478629528819</v>
      </c>
      <c r="J95" s="454">
        <f t="shared" si="3"/>
        <v>4.853849331649541</v>
      </c>
      <c r="K95" s="455">
        <f t="shared" si="3"/>
        <v>5.6617513095671388</v>
      </c>
    </row>
    <row r="96" spans="1:11" s="268" customFormat="1" ht="13.5" thickTop="1" x14ac:dyDescent="0.2">
      <c r="B96" s="456" t="s">
        <v>2069</v>
      </c>
      <c r="C96" s="280" t="s">
        <v>2070</v>
      </c>
      <c r="D96" s="280" t="s">
        <v>2070</v>
      </c>
      <c r="E96" s="280"/>
      <c r="F96" s="280"/>
      <c r="G96" s="280" t="s">
        <v>2070</v>
      </c>
      <c r="H96" s="280" t="s">
        <v>2070</v>
      </c>
      <c r="I96" s="280" t="s">
        <v>2070</v>
      </c>
      <c r="J96" s="280"/>
      <c r="K96" s="457" t="s">
        <v>2070</v>
      </c>
    </row>
    <row r="97" spans="3:10" x14ac:dyDescent="0.25">
      <c r="C97" s="16"/>
      <c r="D97" s="16"/>
      <c r="E97" s="16"/>
      <c r="F97" s="16"/>
      <c r="G97" s="283"/>
      <c r="H97" s="283"/>
      <c r="I97" s="458"/>
      <c r="J97" s="458"/>
    </row>
    <row r="98" spans="3:10" x14ac:dyDescent="0.25">
      <c r="C98" s="16"/>
      <c r="D98" s="16"/>
      <c r="E98" s="16"/>
      <c r="F98" s="16"/>
      <c r="G98" s="283"/>
      <c r="H98" s="283"/>
      <c r="I98" s="458"/>
      <c r="J98" s="458"/>
    </row>
    <row r="99" spans="3:10" x14ac:dyDescent="0.25">
      <c r="C99" s="16"/>
      <c r="D99" s="16"/>
      <c r="E99" s="16"/>
      <c r="F99" s="16"/>
      <c r="G99" s="283"/>
      <c r="H99" s="283"/>
      <c r="I99" s="458"/>
      <c r="J99" s="458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8"/>
  <sheetViews>
    <sheetView workbookViewId="0">
      <selection activeCell="Q18" sqref="Q18"/>
    </sheetView>
  </sheetViews>
  <sheetFormatPr defaultColWidth="8.85546875" defaultRowHeight="15" x14ac:dyDescent="0.25"/>
  <cols>
    <col min="1" max="1" width="7" customWidth="1"/>
    <col min="2" max="2" width="21" customWidth="1"/>
    <col min="3" max="3" width="12.140625" customWidth="1"/>
    <col min="4" max="4" width="11.42578125" customWidth="1"/>
    <col min="5" max="5" width="11" customWidth="1"/>
    <col min="6" max="6" width="12.140625" style="286" customWidth="1"/>
    <col min="7" max="7" width="12.42578125" customWidth="1"/>
    <col min="8" max="8" width="10.85546875" customWidth="1"/>
    <col min="9" max="9" width="11.85546875" customWidth="1"/>
    <col min="10" max="10" width="12.28515625" customWidth="1"/>
    <col min="11" max="12" width="18" style="489" customWidth="1"/>
    <col min="13" max="13" width="9.28515625" style="489" customWidth="1"/>
    <col min="14" max="14" width="9.140625" style="489" customWidth="1"/>
  </cols>
  <sheetData>
    <row r="1" spans="1:14" x14ac:dyDescent="0.25">
      <c r="A1" s="16"/>
      <c r="B1" s="16"/>
      <c r="C1" s="16"/>
      <c r="D1" s="16"/>
      <c r="E1" s="16"/>
      <c r="F1" s="283"/>
      <c r="G1" s="16"/>
      <c r="H1" s="462"/>
      <c r="I1" s="16"/>
      <c r="J1" s="462"/>
      <c r="K1" s="76"/>
      <c r="L1" s="76"/>
      <c r="M1" s="76"/>
      <c r="N1" s="15" t="s">
        <v>2271</v>
      </c>
    </row>
    <row r="2" spans="1:14" ht="15.75" x14ac:dyDescent="0.25">
      <c r="A2" s="207" t="s">
        <v>2072</v>
      </c>
      <c r="B2" s="371"/>
      <c r="C2" s="371"/>
      <c r="D2" s="371"/>
      <c r="E2" s="371"/>
      <c r="F2" s="372"/>
      <c r="G2" s="371"/>
      <c r="H2" s="463"/>
      <c r="I2" s="371"/>
      <c r="J2" s="463"/>
      <c r="K2" s="406"/>
      <c r="L2" s="406"/>
      <c r="M2" s="406"/>
      <c r="N2" s="22" t="s">
        <v>2004</v>
      </c>
    </row>
    <row r="3" spans="1:14" ht="15.75" thickBot="1" x14ac:dyDescent="0.3">
      <c r="A3" s="371"/>
      <c r="B3" s="371"/>
      <c r="C3" s="371"/>
      <c r="D3" s="371"/>
      <c r="E3" s="371"/>
      <c r="F3" s="372"/>
      <c r="G3" s="371"/>
      <c r="H3" s="463"/>
      <c r="I3" s="371"/>
      <c r="J3" s="463"/>
      <c r="K3" s="406"/>
      <c r="L3" s="406"/>
      <c r="M3" s="406"/>
      <c r="N3" s="406"/>
    </row>
    <row r="4" spans="1:14" ht="15.75" thickTop="1" x14ac:dyDescent="0.25">
      <c r="A4" s="96"/>
      <c r="B4" s="638"/>
      <c r="C4" s="433" t="s">
        <v>2073</v>
      </c>
      <c r="D4" s="433"/>
      <c r="E4" s="464"/>
      <c r="F4" s="465"/>
      <c r="G4" s="466" t="s">
        <v>2074</v>
      </c>
      <c r="H4" s="467" t="s">
        <v>2075</v>
      </c>
      <c r="I4" s="468"/>
      <c r="J4" s="469" t="s">
        <v>2076</v>
      </c>
      <c r="K4" s="470" t="s">
        <v>2077</v>
      </c>
      <c r="L4" s="470" t="s">
        <v>2077</v>
      </c>
      <c r="M4" s="645" t="s">
        <v>2078</v>
      </c>
      <c r="N4" s="693"/>
    </row>
    <row r="5" spans="1:14" x14ac:dyDescent="0.25">
      <c r="A5" s="99"/>
      <c r="B5" s="683"/>
      <c r="C5" s="471"/>
      <c r="D5" s="471"/>
      <c r="E5" s="471"/>
      <c r="F5" s="306" t="s">
        <v>2038</v>
      </c>
      <c r="G5" s="472" t="s">
        <v>2079</v>
      </c>
      <c r="H5" s="473" t="s">
        <v>2080</v>
      </c>
      <c r="I5" s="474" t="s">
        <v>2076</v>
      </c>
      <c r="J5" s="475" t="s">
        <v>2081</v>
      </c>
      <c r="K5" s="476" t="s">
        <v>2082</v>
      </c>
      <c r="L5" s="476" t="s">
        <v>2083</v>
      </c>
      <c r="M5" s="476" t="s">
        <v>2084</v>
      </c>
      <c r="N5" s="408" t="s">
        <v>2084</v>
      </c>
    </row>
    <row r="6" spans="1:14" ht="15.75" thickBot="1" x14ac:dyDescent="0.3">
      <c r="A6" s="103"/>
      <c r="B6" s="684"/>
      <c r="C6" s="150" t="s">
        <v>2085</v>
      </c>
      <c r="D6" s="150" t="s">
        <v>2086</v>
      </c>
      <c r="E6" s="150" t="s">
        <v>1873</v>
      </c>
      <c r="F6" s="306" t="s">
        <v>1881</v>
      </c>
      <c r="G6" s="472" t="s">
        <v>2080</v>
      </c>
      <c r="H6" s="473" t="s">
        <v>2045</v>
      </c>
      <c r="I6" s="477" t="s">
        <v>2081</v>
      </c>
      <c r="J6" s="478" t="s">
        <v>2045</v>
      </c>
      <c r="K6" s="415" t="s">
        <v>2087</v>
      </c>
      <c r="L6" s="415" t="s">
        <v>2088</v>
      </c>
      <c r="M6" s="415" t="s">
        <v>2089</v>
      </c>
      <c r="N6" s="415" t="s">
        <v>2090</v>
      </c>
    </row>
    <row r="7" spans="1:14" ht="16.5" thickTop="1" thickBot="1" x14ac:dyDescent="0.3">
      <c r="A7" s="34"/>
      <c r="B7" s="49" t="s">
        <v>1863</v>
      </c>
      <c r="C7" s="37"/>
      <c r="D7" s="37"/>
      <c r="E7" s="39"/>
      <c r="F7" s="108"/>
      <c r="G7" s="39"/>
      <c r="H7" s="39"/>
      <c r="I7" s="39"/>
      <c r="J7" s="39"/>
      <c r="K7" s="39"/>
      <c r="L7" s="39"/>
      <c r="M7" s="39"/>
      <c r="N7" s="39"/>
    </row>
    <row r="8" spans="1:14" ht="15.75" thickTop="1" x14ac:dyDescent="0.25">
      <c r="A8" s="40" t="s">
        <v>666</v>
      </c>
      <c r="B8" s="40" t="s">
        <v>1927</v>
      </c>
      <c r="C8" s="358">
        <f>VLOOKUP($A8,[0]!Data,254,FALSE)</f>
        <v>55332</v>
      </c>
      <c r="D8" s="358">
        <f>VLOOKUP($A8,[0]!Data,255,FALSE)</f>
        <v>41418</v>
      </c>
      <c r="E8" s="358">
        <f>VLOOKUP($A8,[0]!Data,256,FALSE)</f>
        <v>96750</v>
      </c>
      <c r="F8" s="248">
        <f>E8/'Table 1'!D8</f>
        <v>0.60828397902599118</v>
      </c>
      <c r="G8" s="358">
        <f>VLOOKUP($A8,[0]!Data,258,FALSE)</f>
        <v>547012</v>
      </c>
      <c r="H8" s="479">
        <f>G8/'Table 1'!D8</f>
        <v>3.4391590277515811</v>
      </c>
      <c r="I8" s="358">
        <f>VLOOKUP($A8,[0]!Data,299,FALSE)</f>
        <v>70164</v>
      </c>
      <c r="J8" s="479">
        <f>I8/'Table 1'!D8</f>
        <v>0.44113320004526763</v>
      </c>
      <c r="K8" s="358">
        <f>VLOOKUP($A8,[0]!Data,300,FALSE)</f>
        <v>27006</v>
      </c>
      <c r="L8" s="358">
        <f>VLOOKUP($A8,[0]!Data,301,FALSE)</f>
        <v>3909</v>
      </c>
      <c r="M8" s="358">
        <f>VLOOKUP($A8,[0]!Data,305,FALSE)</f>
        <v>265</v>
      </c>
      <c r="N8" s="368">
        <f>VLOOKUP($A8,[0]!Data,306,FALSE)</f>
        <v>237</v>
      </c>
    </row>
    <row r="9" spans="1:14" x14ac:dyDescent="0.25">
      <c r="A9" s="40" t="s">
        <v>711</v>
      </c>
      <c r="B9" s="40" t="s">
        <v>1928</v>
      </c>
      <c r="C9" s="358">
        <f>VLOOKUP($A9,[0]!Data,254,FALSE)</f>
        <v>11037</v>
      </c>
      <c r="D9" s="358">
        <f>VLOOKUP($A9,[0]!Data,255,FALSE)</f>
        <v>3399</v>
      </c>
      <c r="E9" s="358">
        <f>VLOOKUP($A9,[0]!Data,256,FALSE)</f>
        <v>14436</v>
      </c>
      <c r="F9" s="248">
        <f>E9/'Table 1'!D9</f>
        <v>0.37707658551875456</v>
      </c>
      <c r="G9" s="358">
        <f>VLOOKUP($A9,[0]!Data,258,FALSE)</f>
        <v>61429</v>
      </c>
      <c r="H9" s="479">
        <f>G9/'Table 1'!D9</f>
        <v>1.6045606519694913</v>
      </c>
      <c r="I9" s="358">
        <f>VLOOKUP($A9,[0]!Data,299,FALSE)</f>
        <v>2721</v>
      </c>
      <c r="J9" s="479">
        <f>I9/'Table 1'!D9</f>
        <v>7.1074077943788533E-2</v>
      </c>
      <c r="K9" s="358">
        <f>VLOOKUP($A9,[0]!Data,300,FALSE)</f>
        <v>1132</v>
      </c>
      <c r="L9" s="358">
        <f>VLOOKUP($A9,[0]!Data,301,FALSE)</f>
        <v>566</v>
      </c>
      <c r="M9" s="358">
        <f>VLOOKUP($A9,[0]!Data,305,FALSE)</f>
        <v>3704</v>
      </c>
      <c r="N9" s="360">
        <f>VLOOKUP($A9,[0]!Data,306,FALSE)</f>
        <v>3379</v>
      </c>
    </row>
    <row r="10" spans="1:14" x14ac:dyDescent="0.25">
      <c r="A10" s="40" t="s">
        <v>775</v>
      </c>
      <c r="B10" s="40" t="s">
        <v>1929</v>
      </c>
      <c r="C10" s="358">
        <f>VLOOKUP($A10,[0]!Data,254,FALSE)</f>
        <v>9124</v>
      </c>
      <c r="D10" s="358">
        <f>VLOOKUP($A10,[0]!Data,255,FALSE)</f>
        <v>2846</v>
      </c>
      <c r="E10" s="358">
        <f>VLOOKUP($A10,[0]!Data,256,FALSE)</f>
        <v>11970</v>
      </c>
      <c r="F10" s="248">
        <f>E10/'Table 1'!D10</f>
        <v>0.34528514148902412</v>
      </c>
      <c r="G10" s="358">
        <f>VLOOKUP($A10,[0]!Data,258,FALSE)</f>
        <v>32485</v>
      </c>
      <c r="H10" s="479">
        <f>G10/'Table 1'!D10</f>
        <v>0.93705829751637004</v>
      </c>
      <c r="I10" s="358">
        <f>VLOOKUP($A10,[0]!Data,299,FALSE)</f>
        <v>3342</v>
      </c>
      <c r="J10" s="479">
        <f>I10/'Table 1'!D10</f>
        <v>9.6402919202699972E-2</v>
      </c>
      <c r="K10" s="358">
        <f>VLOOKUP($A10,[0]!Data,300,FALSE)</f>
        <v>637</v>
      </c>
      <c r="L10" s="358">
        <f>VLOOKUP($A10,[0]!Data,301,FALSE)</f>
        <v>359</v>
      </c>
      <c r="M10" s="358">
        <f>VLOOKUP($A10,[0]!Data,305,FALSE)</f>
        <v>649</v>
      </c>
      <c r="N10" s="360">
        <f>VLOOKUP($A10,[0]!Data,306,FALSE)</f>
        <v>161</v>
      </c>
    </row>
    <row r="11" spans="1:14" x14ac:dyDescent="0.25">
      <c r="A11" s="40" t="s">
        <v>804</v>
      </c>
      <c r="B11" s="40" t="s">
        <v>1930</v>
      </c>
      <c r="C11" s="358">
        <f>VLOOKUP($A11,[0]!Data,254,FALSE)</f>
        <v>45707</v>
      </c>
      <c r="D11" s="358">
        <f>VLOOKUP($A11,[0]!Data,255,FALSE)</f>
        <v>10328</v>
      </c>
      <c r="E11" s="358">
        <f>VLOOKUP($A11,[0]!Data,256,FALSE)</f>
        <v>56035</v>
      </c>
      <c r="F11" s="248">
        <f>E11/'Table 1'!D11</f>
        <v>0.43863013698630138</v>
      </c>
      <c r="G11" s="358">
        <f>VLOOKUP($A11,[0]!Data,258,FALSE)</f>
        <v>261917</v>
      </c>
      <c r="H11" s="479">
        <f>G11/'Table 1'!D11</f>
        <v>2.0502309197651662</v>
      </c>
      <c r="I11" s="358">
        <f>VLOOKUP($A11,[0]!Data,299,FALSE)</f>
        <v>55048</v>
      </c>
      <c r="J11" s="479">
        <f>I11/'Table 1'!D11</f>
        <v>0.43090410958904107</v>
      </c>
      <c r="K11" s="358">
        <f>VLOOKUP($A11,[0]!Data,300,FALSE)</f>
        <v>10175</v>
      </c>
      <c r="L11" s="358">
        <f>VLOOKUP($A11,[0]!Data,301,FALSE)</f>
        <v>2442</v>
      </c>
      <c r="M11" s="358">
        <f>VLOOKUP($A11,[0]!Data,305,FALSE)</f>
        <v>28</v>
      </c>
      <c r="N11" s="360">
        <f>VLOOKUP($A11,[0]!Data,306,FALSE)</f>
        <v>289</v>
      </c>
    </row>
    <row r="12" spans="1:14" x14ac:dyDescent="0.25">
      <c r="A12" s="40" t="s">
        <v>818</v>
      </c>
      <c r="B12" s="40" t="s">
        <v>1931</v>
      </c>
      <c r="C12" s="358">
        <f>VLOOKUP($A12,[0]!Data,254,FALSE)</f>
        <v>109022</v>
      </c>
      <c r="D12" s="358">
        <f>VLOOKUP($A12,[0]!Data,255,FALSE)</f>
        <v>20302</v>
      </c>
      <c r="E12" s="358">
        <f>VLOOKUP($A12,[0]!Data,256,FALSE)</f>
        <v>129324</v>
      </c>
      <c r="F12" s="248">
        <f>E12/'Table 1'!D12</f>
        <v>0.50046825538106698</v>
      </c>
      <c r="G12" s="358">
        <f>VLOOKUP($A12,[0]!Data,258,FALSE)</f>
        <v>2004537</v>
      </c>
      <c r="H12" s="479">
        <f>G12/'Table 1'!D12</f>
        <v>7.7573160065942739</v>
      </c>
      <c r="I12" s="358">
        <f>VLOOKUP($A12,[0]!Data,299,FALSE)</f>
        <v>111744</v>
      </c>
      <c r="J12" s="479">
        <f>I12/'Table 1'!D12</f>
        <v>0.43243577935496852</v>
      </c>
      <c r="K12" s="358">
        <f>VLOOKUP($A12,[0]!Data,300,FALSE)</f>
        <v>14892</v>
      </c>
      <c r="L12" s="358">
        <f>VLOOKUP($A12,[0]!Data,301,FALSE)</f>
        <v>2981</v>
      </c>
      <c r="M12" s="358">
        <f>VLOOKUP($A12,[0]!Data,305,FALSE)</f>
        <v>35699</v>
      </c>
      <c r="N12" s="360">
        <f>VLOOKUP($A12,[0]!Data,306,FALSE)</f>
        <v>44554</v>
      </c>
    </row>
    <row r="13" spans="1:14" x14ac:dyDescent="0.25">
      <c r="A13" s="40" t="s">
        <v>831</v>
      </c>
      <c r="B13" s="40" t="s">
        <v>1932</v>
      </c>
      <c r="C13" s="358">
        <f>VLOOKUP($A13,[0]!Data,254,FALSE)</f>
        <v>46583</v>
      </c>
      <c r="D13" s="358">
        <f>VLOOKUP($A13,[0]!Data,255,FALSE)</f>
        <v>17427</v>
      </c>
      <c r="E13" s="358">
        <f>VLOOKUP($A13,[0]!Data,256,FALSE)</f>
        <v>64010</v>
      </c>
      <c r="F13" s="248">
        <f>E13/'Table 1'!D13</f>
        <v>0.7132271830813286</v>
      </c>
      <c r="G13" s="358">
        <f>VLOOKUP($A13,[0]!Data,258,FALSE)</f>
        <v>133680</v>
      </c>
      <c r="H13" s="479">
        <f>G13/'Table 1'!D13</f>
        <v>1.4895205410765819</v>
      </c>
      <c r="I13" s="358">
        <f>VLOOKUP($A13,[0]!Data,299,FALSE)</f>
        <v>23556</v>
      </c>
      <c r="J13" s="479">
        <f>I13/'Table 1'!D13</f>
        <v>0.26247116895272266</v>
      </c>
      <c r="K13" s="358">
        <f>VLOOKUP($A13,[0]!Data,300,FALSE)</f>
        <v>10504</v>
      </c>
      <c r="L13" s="358">
        <f>VLOOKUP($A13,[0]!Data,301,FALSE)</f>
        <v>1404</v>
      </c>
      <c r="M13" s="358">
        <f>VLOOKUP($A13,[0]!Data,305,FALSE)</f>
        <v>161</v>
      </c>
      <c r="N13" s="360">
        <f>VLOOKUP($A13,[0]!Data,306,FALSE)</f>
        <v>322</v>
      </c>
    </row>
    <row r="14" spans="1:14" x14ac:dyDescent="0.25">
      <c r="A14" s="40" t="s">
        <v>843</v>
      </c>
      <c r="B14" s="40" t="s">
        <v>1933</v>
      </c>
      <c r="C14" s="358">
        <f>VLOOKUP($A14,[0]!Data,254,FALSE)</f>
        <v>65837</v>
      </c>
      <c r="D14" s="358">
        <f>VLOOKUP($A14,[0]!Data,255,FALSE)</f>
        <v>16498</v>
      </c>
      <c r="E14" s="358">
        <f>VLOOKUP($A14,[0]!Data,256,FALSE)</f>
        <v>82335</v>
      </c>
      <c r="F14" s="248">
        <f>E14/'Table 1'!D14</f>
        <v>0.41031480641672857</v>
      </c>
      <c r="G14" s="358">
        <f>VLOOKUP($A14,[0]!Data,258,FALSE)</f>
        <v>428290</v>
      </c>
      <c r="H14" s="479">
        <f>G14/'Table 1'!D14</f>
        <v>2.1343745483721461</v>
      </c>
      <c r="I14" s="358">
        <f>VLOOKUP($A14,[0]!Data,299,FALSE)</f>
        <v>82401</v>
      </c>
      <c r="J14" s="479">
        <f>I14/'Table 1'!D14</f>
        <v>0.41064371608119088</v>
      </c>
      <c r="K14" s="358">
        <f>VLOOKUP($A14,[0]!Data,300,FALSE)</f>
        <v>30043</v>
      </c>
      <c r="L14" s="358">
        <f>VLOOKUP($A14,[0]!Data,301,FALSE)</f>
        <v>4493</v>
      </c>
      <c r="M14" s="358">
        <f>VLOOKUP($A14,[0]!Data,305,FALSE)</f>
        <v>303</v>
      </c>
      <c r="N14" s="360">
        <f>VLOOKUP($A14,[0]!Data,306,FALSE)</f>
        <v>265</v>
      </c>
    </row>
    <row r="15" spans="1:14" x14ac:dyDescent="0.25">
      <c r="A15" s="40" t="s">
        <v>855</v>
      </c>
      <c r="B15" s="40" t="s">
        <v>1934</v>
      </c>
      <c r="C15" s="358">
        <f>VLOOKUP($A15,[0]!Data,254,FALSE)</f>
        <v>24638</v>
      </c>
      <c r="D15" s="358">
        <f>VLOOKUP($A15,[0]!Data,255,FALSE)</f>
        <v>6269</v>
      </c>
      <c r="E15" s="358">
        <f>VLOOKUP($A15,[0]!Data,256,FALSE)</f>
        <v>30907</v>
      </c>
      <c r="F15" s="248">
        <f>E15/'Table 1'!D15</f>
        <v>0.37339921712656454</v>
      </c>
      <c r="G15" s="358">
        <f>VLOOKUP($A15,[0]!Data,258,FALSE)</f>
        <v>307405</v>
      </c>
      <c r="H15" s="479">
        <f>G15/'Table 1'!D15</f>
        <v>3.7138766732711543</v>
      </c>
      <c r="I15" s="358">
        <f>VLOOKUP($A15,[0]!Data,299,FALSE)</f>
        <v>59956</v>
      </c>
      <c r="J15" s="479">
        <f>I15/'Table 1'!D15</f>
        <v>0.72435122988450196</v>
      </c>
      <c r="K15" s="358">
        <f>VLOOKUP($A15,[0]!Data,300,FALSE)</f>
        <v>15444</v>
      </c>
      <c r="L15" s="358">
        <f>VLOOKUP($A15,[0]!Data,301,FALSE)</f>
        <v>312</v>
      </c>
      <c r="M15" s="358">
        <f>VLOOKUP($A15,[0]!Data,305,FALSE)</f>
        <v>11637</v>
      </c>
      <c r="N15" s="360">
        <f>VLOOKUP($A15,[0]!Data,306,FALSE)</f>
        <v>6734</v>
      </c>
    </row>
    <row r="16" spans="1:14" x14ac:dyDescent="0.25">
      <c r="A16" s="40" t="s">
        <v>868</v>
      </c>
      <c r="B16" s="40" t="s">
        <v>1935</v>
      </c>
      <c r="C16" s="358">
        <f>VLOOKUP($A16,[0]!Data,254,FALSE)</f>
        <v>5658</v>
      </c>
      <c r="D16" s="358">
        <f>VLOOKUP($A16,[0]!Data,255,FALSE)</f>
        <v>1967</v>
      </c>
      <c r="E16" s="358">
        <f>VLOOKUP($A16,[0]!Data,256,FALSE)</f>
        <v>7625</v>
      </c>
      <c r="F16" s="248">
        <f>E16/'Table 1'!D16</f>
        <v>0.32187935328633543</v>
      </c>
      <c r="G16" s="358">
        <f>VLOOKUP($A16,[0]!Data,258,FALSE)</f>
        <v>78611</v>
      </c>
      <c r="H16" s="479">
        <f>G16/'Table 1'!D16</f>
        <v>3.3184600447465069</v>
      </c>
      <c r="I16" s="358">
        <f>VLOOKUP($A16,[0]!Data,299,FALSE)</f>
        <v>12633</v>
      </c>
      <c r="J16" s="479">
        <f>I16/'Table 1'!D16</f>
        <v>0.5332854911562328</v>
      </c>
      <c r="K16" s="358">
        <f>VLOOKUP($A16,[0]!Data,300,FALSE)</f>
        <v>5540</v>
      </c>
      <c r="L16" s="358">
        <f>VLOOKUP($A16,[0]!Data,301,FALSE)</f>
        <v>978</v>
      </c>
      <c r="M16" s="358">
        <f>VLOOKUP($A16,[0]!Data,305,FALSE)</f>
        <v>3010</v>
      </c>
      <c r="N16" s="360">
        <f>VLOOKUP($A16,[0]!Data,306,FALSE)</f>
        <v>1220</v>
      </c>
    </row>
    <row r="17" spans="1:14" x14ac:dyDescent="0.25">
      <c r="A17" s="40" t="s">
        <v>881</v>
      </c>
      <c r="B17" s="40" t="s">
        <v>1936</v>
      </c>
      <c r="C17" s="358">
        <f>VLOOKUP($A17,[0]!Data,254,FALSE)</f>
        <v>72450</v>
      </c>
      <c r="D17" s="358">
        <f>VLOOKUP($A17,[0]!Data,255,FALSE)</f>
        <v>14367</v>
      </c>
      <c r="E17" s="358">
        <f>VLOOKUP($A17,[0]!Data,256,FALSE)</f>
        <v>86817</v>
      </c>
      <c r="F17" s="248">
        <f>E17/'Table 1'!D17</f>
        <v>0.74772625486615907</v>
      </c>
      <c r="G17" s="358">
        <f>VLOOKUP($A17,[0]!Data,258,FALSE)</f>
        <v>412433</v>
      </c>
      <c r="H17" s="479">
        <f>G17/'Table 1'!D17</f>
        <v>3.5521497226719951</v>
      </c>
      <c r="I17" s="358">
        <f>VLOOKUP($A17,[0]!Data,299,FALSE)</f>
        <v>49574</v>
      </c>
      <c r="J17" s="479">
        <f>I17/'Table 1'!D17</f>
        <v>0.42696455024632241</v>
      </c>
      <c r="K17" s="358">
        <f>VLOOKUP($A17,[0]!Data,300,FALSE)</f>
        <v>20752</v>
      </c>
      <c r="L17" s="358">
        <f>VLOOKUP($A17,[0]!Data,301,FALSE)</f>
        <v>3764</v>
      </c>
      <c r="M17" s="358">
        <f>VLOOKUP($A17,[0]!Data,305,FALSE)</f>
        <v>0</v>
      </c>
      <c r="N17" s="360">
        <f>VLOOKUP($A17,[0]!Data,306,FALSE)</f>
        <v>156</v>
      </c>
    </row>
    <row r="18" spans="1:14" x14ac:dyDescent="0.25">
      <c r="A18" s="40" t="s">
        <v>932</v>
      </c>
      <c r="B18" s="40" t="s">
        <v>1937</v>
      </c>
      <c r="C18" s="358">
        <f>VLOOKUP($A18,[0]!Data,254,FALSE)</f>
        <v>31206</v>
      </c>
      <c r="D18" s="358">
        <f>VLOOKUP($A18,[0]!Data,255,FALSE)</f>
        <v>3812</v>
      </c>
      <c r="E18" s="358">
        <f>VLOOKUP($A18,[0]!Data,256,FALSE)</f>
        <v>35018</v>
      </c>
      <c r="F18" s="248">
        <f>E18/'Table 1'!D18</f>
        <v>0.4778265971672625</v>
      </c>
      <c r="G18" s="358">
        <f>VLOOKUP($A18,[0]!Data,258,FALSE)</f>
        <v>181494</v>
      </c>
      <c r="H18" s="479">
        <f>G18/'Table 1'!D18</f>
        <v>2.4765166607537594</v>
      </c>
      <c r="I18" s="358">
        <f>VLOOKUP($A18,[0]!Data,299,FALSE)</f>
        <v>26634</v>
      </c>
      <c r="J18" s="479">
        <f>I18/'Table 1'!D18</f>
        <v>0.363425483721311</v>
      </c>
      <c r="K18" s="358">
        <f>VLOOKUP($A18,[0]!Data,300,FALSE)</f>
        <v>21258</v>
      </c>
      <c r="L18" s="358">
        <f>VLOOKUP($A18,[0]!Data,301,FALSE)</f>
        <v>1003</v>
      </c>
      <c r="M18" s="358">
        <f>VLOOKUP($A18,[0]!Data,305,FALSE)</f>
        <v>0</v>
      </c>
      <c r="N18" s="360">
        <f>VLOOKUP($A18,[0]!Data,306,FALSE)</f>
        <v>330</v>
      </c>
    </row>
    <row r="19" spans="1:14" x14ac:dyDescent="0.25">
      <c r="A19" s="40" t="s">
        <v>947</v>
      </c>
      <c r="B19" s="40" t="s">
        <v>1938</v>
      </c>
      <c r="C19" s="358">
        <f>VLOOKUP($A19,[0]!Data,254,FALSE)</f>
        <v>26475</v>
      </c>
      <c r="D19" s="358">
        <f>VLOOKUP($A19,[0]!Data,255,FALSE)</f>
        <v>152</v>
      </c>
      <c r="E19" s="358">
        <f>VLOOKUP($A19,[0]!Data,256,FALSE)</f>
        <v>26627</v>
      </c>
      <c r="F19" s="248">
        <f>E19/'Table 1'!D19</f>
        <v>0.30052708208710965</v>
      </c>
      <c r="G19" s="358">
        <f>VLOOKUP($A19,[0]!Data,258,FALSE)</f>
        <v>169303</v>
      </c>
      <c r="H19" s="479">
        <f>G19/'Table 1'!D19</f>
        <v>1.9108475073644766</v>
      </c>
      <c r="I19" s="358">
        <f>VLOOKUP($A19,[0]!Data,299,FALSE)</f>
        <v>48931</v>
      </c>
      <c r="J19" s="479">
        <f>I19/'Table 1'!D19</f>
        <v>0.55226238981501341</v>
      </c>
      <c r="K19" s="358">
        <f>VLOOKUP($A19,[0]!Data,300,FALSE)</f>
        <v>35002</v>
      </c>
      <c r="L19" s="358">
        <f>VLOOKUP($A19,[0]!Data,301,FALSE)</f>
        <v>12680</v>
      </c>
      <c r="M19" s="358">
        <f>VLOOKUP($A19,[0]!Data,305,FALSE)</f>
        <v>14558</v>
      </c>
      <c r="N19" s="360">
        <f>VLOOKUP($A19,[0]!Data,306,FALSE)</f>
        <v>14614</v>
      </c>
    </row>
    <row r="20" spans="1:14" x14ac:dyDescent="0.25">
      <c r="A20" s="40" t="s">
        <v>961</v>
      </c>
      <c r="B20" s="40" t="s">
        <v>1939</v>
      </c>
      <c r="C20" s="358">
        <f>VLOOKUP($A20,[0]!Data,254,FALSE)</f>
        <v>30829</v>
      </c>
      <c r="D20" s="358">
        <f>VLOOKUP($A20,[0]!Data,255,FALSE)</f>
        <v>11417</v>
      </c>
      <c r="E20" s="358">
        <f>VLOOKUP($A20,[0]!Data,256,FALSE)</f>
        <v>42246</v>
      </c>
      <c r="F20" s="248">
        <f>E20/'Table 1'!D20</f>
        <v>0.73879892273792447</v>
      </c>
      <c r="G20" s="358">
        <f>VLOOKUP($A20,[0]!Data,258,FALSE)</f>
        <v>88096</v>
      </c>
      <c r="H20" s="479">
        <f>G20/'Table 1'!D20</f>
        <v>1.5406246720996117</v>
      </c>
      <c r="I20" s="358">
        <f>VLOOKUP($A20,[0]!Data,299,FALSE)</f>
        <v>38791</v>
      </c>
      <c r="J20" s="479">
        <f>I20/'Table 1'!D20</f>
        <v>0.6783778111993285</v>
      </c>
      <c r="K20" s="358">
        <f>VLOOKUP($A20,[0]!Data,300,FALSE)</f>
        <v>11654</v>
      </c>
      <c r="L20" s="358">
        <f>VLOOKUP($A20,[0]!Data,301,FALSE)</f>
        <v>2677</v>
      </c>
      <c r="M20" s="358">
        <f>VLOOKUP($A20,[0]!Data,305,FALSE)</f>
        <v>0</v>
      </c>
      <c r="N20" s="360">
        <f>VLOOKUP($A20,[0]!Data,306,FALSE)</f>
        <v>13</v>
      </c>
    </row>
    <row r="21" spans="1:14" x14ac:dyDescent="0.25">
      <c r="A21" s="40" t="s">
        <v>991</v>
      </c>
      <c r="B21" s="40" t="s">
        <v>1940</v>
      </c>
      <c r="C21" s="358">
        <f>VLOOKUP($A21,[0]!Data,254,FALSE)</f>
        <v>201569</v>
      </c>
      <c r="D21" s="358">
        <f>VLOOKUP($A21,[0]!Data,255,FALSE)</f>
        <v>32089</v>
      </c>
      <c r="E21" s="358">
        <f>VLOOKUP($A21,[0]!Data,256,FALSE)</f>
        <v>233658</v>
      </c>
      <c r="F21" s="248">
        <f>E21/'Table 1'!D21</f>
        <v>0.70843237605510823</v>
      </c>
      <c r="G21" s="358">
        <f>VLOOKUP($A21,[0]!Data,258,FALSE)</f>
        <v>1214921</v>
      </c>
      <c r="H21" s="479">
        <f>G21/'Table 1'!D21</f>
        <v>3.6835433443290966</v>
      </c>
      <c r="I21" s="358">
        <f>VLOOKUP($A21,[0]!Data,299,FALSE)</f>
        <v>219230</v>
      </c>
      <c r="J21" s="479">
        <f>I21/'Table 1'!D21</f>
        <v>0.66468783351120597</v>
      </c>
      <c r="K21" s="358">
        <f>VLOOKUP($A21,[0]!Data,300,FALSE)</f>
        <v>99573</v>
      </c>
      <c r="L21" s="358">
        <f>VLOOKUP($A21,[0]!Data,301,FALSE)</f>
        <v>4414</v>
      </c>
      <c r="M21" s="358">
        <f>VLOOKUP($A21,[0]!Data,305,FALSE)</f>
        <v>35924</v>
      </c>
      <c r="N21" s="360">
        <f>VLOOKUP($A21,[0]!Data,306,FALSE)</f>
        <v>35562</v>
      </c>
    </row>
    <row r="22" spans="1:14" x14ac:dyDescent="0.25">
      <c r="A22" s="40" t="s">
        <v>1007</v>
      </c>
      <c r="B22" s="40" t="s">
        <v>1941</v>
      </c>
      <c r="C22" s="358">
        <f>VLOOKUP($A22,[0]!Data,254,FALSE)</f>
        <v>73504</v>
      </c>
      <c r="D22" s="358">
        <f>VLOOKUP($A22,[0]!Data,255,FALSE)</f>
        <v>33365</v>
      </c>
      <c r="E22" s="358">
        <f>VLOOKUP($A22,[0]!Data,256,FALSE)</f>
        <v>106869</v>
      </c>
      <c r="F22" s="248">
        <f>E22/'Table 1'!D22</f>
        <v>0.66739733213429253</v>
      </c>
      <c r="G22" s="358">
        <f>VLOOKUP($A22,[0]!Data,258,FALSE)</f>
        <v>514377</v>
      </c>
      <c r="H22" s="479">
        <f>G22/'Table 1'!D22</f>
        <v>3.2122864208633093</v>
      </c>
      <c r="I22" s="358">
        <f>VLOOKUP($A22,[0]!Data,299,FALSE)</f>
        <v>276247</v>
      </c>
      <c r="J22" s="479">
        <f>I22/'Table 1'!D22</f>
        <v>1.7251636191047162</v>
      </c>
      <c r="K22" s="358">
        <f>VLOOKUP($A22,[0]!Data,300,FALSE)</f>
        <v>73614</v>
      </c>
      <c r="L22" s="358">
        <f>VLOOKUP($A22,[0]!Data,301,FALSE)</f>
        <v>5271</v>
      </c>
      <c r="M22" s="358">
        <f>VLOOKUP($A22,[0]!Data,305,FALSE)</f>
        <v>25232</v>
      </c>
      <c r="N22" s="360">
        <f>VLOOKUP($A22,[0]!Data,306,FALSE)</f>
        <v>10813</v>
      </c>
    </row>
    <row r="23" spans="1:14" x14ac:dyDescent="0.25">
      <c r="A23" s="40" t="s">
        <v>1024</v>
      </c>
      <c r="B23" s="40" t="s">
        <v>1942</v>
      </c>
      <c r="C23" s="358">
        <f>VLOOKUP($A23,[0]!Data,254,FALSE)</f>
        <v>12264</v>
      </c>
      <c r="D23" s="358">
        <f>VLOOKUP($A23,[0]!Data,255,FALSE)</f>
        <v>9862</v>
      </c>
      <c r="E23" s="358">
        <f>VLOOKUP($A23,[0]!Data,256,FALSE)</f>
        <v>22126</v>
      </c>
      <c r="F23" s="248">
        <f>E23/'Table 1'!D23</f>
        <v>0.52417616261164146</v>
      </c>
      <c r="G23" s="358">
        <f>VLOOKUP($A23,[0]!Data,258,FALSE)</f>
        <v>59070</v>
      </c>
      <c r="H23" s="479">
        <f>G23/'Table 1'!D23</f>
        <v>1.3993982611167706</v>
      </c>
      <c r="I23" s="358">
        <f>VLOOKUP($A23,[0]!Data,299,FALSE)</f>
        <v>4412</v>
      </c>
      <c r="J23" s="479">
        <f>I23/'Table 1'!D23</f>
        <v>0.10452251782710668</v>
      </c>
      <c r="K23" s="358">
        <f>VLOOKUP($A23,[0]!Data,300,FALSE)</f>
        <v>2749</v>
      </c>
      <c r="L23" s="358">
        <f>VLOOKUP($A23,[0]!Data,301,FALSE)</f>
        <v>1532</v>
      </c>
      <c r="M23" s="358">
        <f>VLOOKUP($A23,[0]!Data,305,FALSE)</f>
        <v>5192</v>
      </c>
      <c r="N23" s="360">
        <f>VLOOKUP($A23,[0]!Data,306,FALSE)</f>
        <v>2167</v>
      </c>
    </row>
    <row r="24" spans="1:14" x14ac:dyDescent="0.25">
      <c r="A24" s="40" t="s">
        <v>1037</v>
      </c>
      <c r="B24" s="40" t="s">
        <v>1943</v>
      </c>
      <c r="C24" s="358">
        <f>VLOOKUP($A24,[0]!Data,254,FALSE)</f>
        <v>3319</v>
      </c>
      <c r="D24" s="358">
        <f>VLOOKUP($A24,[0]!Data,255,FALSE)</f>
        <v>1051</v>
      </c>
      <c r="E24" s="358">
        <f>VLOOKUP($A24,[0]!Data,256,FALSE)</f>
        <v>4370</v>
      </c>
      <c r="F24" s="248">
        <f>E24/'Table 1'!D24</f>
        <v>7.3325838548920247E-2</v>
      </c>
      <c r="G24" s="358">
        <f>VLOOKUP($A24,[0]!Data,258,FALSE)</f>
        <v>31718</v>
      </c>
      <c r="H24" s="479">
        <f>G24/'Table 1'!D24</f>
        <v>0.53220799704683119</v>
      </c>
      <c r="I24" s="358">
        <f>VLOOKUP($A24,[0]!Data,299,FALSE)</f>
        <v>4364</v>
      </c>
      <c r="J24" s="479">
        <f>I24/'Table 1'!D24</f>
        <v>7.3225162340386257E-2</v>
      </c>
      <c r="K24" s="358">
        <f>VLOOKUP($A24,[0]!Data,300,FALSE)</f>
        <v>3016</v>
      </c>
      <c r="L24" s="358">
        <f>VLOOKUP($A24,[0]!Data,301,FALSE)</f>
        <v>156</v>
      </c>
      <c r="M24" s="358">
        <f>VLOOKUP($A24,[0]!Data,305,FALSE)</f>
        <v>13</v>
      </c>
      <c r="N24" s="360">
        <f>VLOOKUP($A24,[0]!Data,306,FALSE)</f>
        <v>33</v>
      </c>
    </row>
    <row r="25" spans="1:14" x14ac:dyDescent="0.25">
      <c r="A25" s="40" t="s">
        <v>1053</v>
      </c>
      <c r="B25" s="40" t="s">
        <v>1944</v>
      </c>
      <c r="C25" s="358">
        <f>VLOOKUP($A25,[0]!Data,254,FALSE)</f>
        <v>217223</v>
      </c>
      <c r="D25" s="358">
        <f>VLOOKUP($A25,[0]!Data,255,FALSE)</f>
        <v>48486</v>
      </c>
      <c r="E25" s="358">
        <f>VLOOKUP($A25,[0]!Data,256,FALSE)</f>
        <v>265709</v>
      </c>
      <c r="F25" s="248">
        <f>E25/'Table 1'!D25</f>
        <v>0.89056508915404209</v>
      </c>
      <c r="G25" s="358">
        <f>VLOOKUP($A25,[0]!Data,258,FALSE)</f>
        <v>858360</v>
      </c>
      <c r="H25" s="479">
        <f>G25/'Table 1'!D25</f>
        <v>2.8769272020378067</v>
      </c>
      <c r="I25" s="358">
        <f>VLOOKUP($A25,[0]!Data,299,FALSE)</f>
        <v>170264</v>
      </c>
      <c r="J25" s="479">
        <f>I25/'Table 1'!D25</f>
        <v>0.57066630915672345</v>
      </c>
      <c r="K25" s="358">
        <f>VLOOKUP($A25,[0]!Data,300,FALSE)</f>
        <v>77220</v>
      </c>
      <c r="L25" s="358">
        <f>VLOOKUP($A25,[0]!Data,301,FALSE)</f>
        <v>17592</v>
      </c>
      <c r="M25" s="358">
        <f>VLOOKUP($A25,[0]!Data,305,FALSE)</f>
        <v>1188</v>
      </c>
      <c r="N25" s="360">
        <f>VLOOKUP($A25,[0]!Data,306,FALSE)</f>
        <v>2262</v>
      </c>
    </row>
    <row r="26" spans="1:14" x14ac:dyDescent="0.25">
      <c r="A26" s="40" t="s">
        <v>1086</v>
      </c>
      <c r="B26" s="40" t="s">
        <v>1945</v>
      </c>
      <c r="C26" s="358">
        <f>VLOOKUP($A26,[0]!Data,254,FALSE)</f>
        <v>13742</v>
      </c>
      <c r="D26" s="358">
        <f>VLOOKUP($A26,[0]!Data,255,FALSE)</f>
        <v>4082</v>
      </c>
      <c r="E26" s="358">
        <f>VLOOKUP($A26,[0]!Data,256,FALSE)</f>
        <v>17824</v>
      </c>
      <c r="F26" s="248">
        <f>E26/'Table 1'!D26</f>
        <v>0.33314642443273151</v>
      </c>
      <c r="G26" s="358">
        <f>VLOOKUP($A26,[0]!Data,258,FALSE)</f>
        <v>135761</v>
      </c>
      <c r="H26" s="479">
        <f>G26/'Table 1'!D26</f>
        <v>2.5374939254607303</v>
      </c>
      <c r="I26" s="358">
        <f>VLOOKUP($A26,[0]!Data,299,FALSE)</f>
        <v>7304</v>
      </c>
      <c r="J26" s="479">
        <f>I26/'Table 1'!D26</f>
        <v>0.1365182609995888</v>
      </c>
      <c r="K26" s="358">
        <f>VLOOKUP($A26,[0]!Data,300,FALSE)</f>
        <v>4458</v>
      </c>
      <c r="L26" s="358">
        <f>VLOOKUP($A26,[0]!Data,301,FALSE)</f>
        <v>749</v>
      </c>
      <c r="M26" s="358">
        <f>VLOOKUP($A26,[0]!Data,305,FALSE)</f>
        <v>28</v>
      </c>
      <c r="N26" s="360">
        <f>VLOOKUP($A26,[0]!Data,306,FALSE)</f>
        <v>17</v>
      </c>
    </row>
    <row r="27" spans="1:14" x14ac:dyDescent="0.25">
      <c r="A27" s="40" t="s">
        <v>1132</v>
      </c>
      <c r="B27" s="40" t="s">
        <v>1946</v>
      </c>
      <c r="C27" s="358">
        <f>VLOOKUP($A27,[0]!Data,254,FALSE)</f>
        <v>129686</v>
      </c>
      <c r="D27" s="358">
        <f>VLOOKUP($A27,[0]!Data,255,FALSE)</f>
        <v>35252</v>
      </c>
      <c r="E27" s="358">
        <f>VLOOKUP($A27,[0]!Data,256,FALSE)</f>
        <v>164938</v>
      </c>
      <c r="F27" s="248">
        <f>E27/'Table 1'!D27</f>
        <v>0.44684960974010668</v>
      </c>
      <c r="G27" s="358">
        <f>VLOOKUP($A27,[0]!Data,258,FALSE)</f>
        <v>1041176</v>
      </c>
      <c r="H27" s="479">
        <f>G27/'Table 1'!D27</f>
        <v>2.8207513688220138</v>
      </c>
      <c r="I27" s="358">
        <f>VLOOKUP($A27,[0]!Data,299,FALSE)</f>
        <v>318330</v>
      </c>
      <c r="J27" s="479">
        <f>I27/'Table 1'!D27</f>
        <v>0.86241882567127137</v>
      </c>
      <c r="K27" s="358">
        <f>VLOOKUP($A27,[0]!Data,300,FALSE)</f>
        <v>89924</v>
      </c>
      <c r="L27" s="358">
        <f>VLOOKUP($A27,[0]!Data,301,FALSE)</f>
        <v>19184</v>
      </c>
      <c r="M27" s="358">
        <f>VLOOKUP($A27,[0]!Data,305,FALSE)</f>
        <v>72046</v>
      </c>
      <c r="N27" s="360">
        <f>VLOOKUP($A27,[0]!Data,306,FALSE)</f>
        <v>17951</v>
      </c>
    </row>
    <row r="28" spans="1:14" x14ac:dyDescent="0.25">
      <c r="A28" s="40" t="s">
        <v>1146</v>
      </c>
      <c r="B28" s="40" t="s">
        <v>1947</v>
      </c>
      <c r="C28" s="358">
        <f>VLOOKUP($A28,[0]!Data,254,FALSE)</f>
        <v>20115</v>
      </c>
      <c r="D28" s="358">
        <f>VLOOKUP($A28,[0]!Data,255,FALSE)</f>
        <v>7128</v>
      </c>
      <c r="E28" s="358">
        <f>VLOOKUP($A28,[0]!Data,256,FALSE)</f>
        <v>27243</v>
      </c>
      <c r="F28" s="248">
        <f>E28/'Table 1'!D28</f>
        <v>0.41627320650928262</v>
      </c>
      <c r="G28" s="358">
        <f>VLOOKUP($A28,[0]!Data,258,FALSE)</f>
        <v>227985</v>
      </c>
      <c r="H28" s="479">
        <f>G28/'Table 1'!D28</f>
        <v>3.4836121934448774</v>
      </c>
      <c r="I28" s="358">
        <f>VLOOKUP($A28,[0]!Data,299,FALSE)</f>
        <v>12064</v>
      </c>
      <c r="J28" s="479">
        <f>I28/'Table 1'!D28</f>
        <v>0.18433799373519749</v>
      </c>
      <c r="K28" s="358">
        <f>VLOOKUP($A28,[0]!Data,300,FALSE)</f>
        <v>5824</v>
      </c>
      <c r="L28" s="358">
        <f>VLOOKUP($A28,[0]!Data,301,FALSE)</f>
        <v>2340</v>
      </c>
      <c r="M28" s="358">
        <f>VLOOKUP($A28,[0]!Data,305,FALSE)</f>
        <v>6035</v>
      </c>
      <c r="N28" s="360">
        <f>VLOOKUP($A28,[0]!Data,306,FALSE)</f>
        <v>5790</v>
      </c>
    </row>
    <row r="29" spans="1:14" x14ac:dyDescent="0.25">
      <c r="A29" s="40" t="s">
        <v>1161</v>
      </c>
      <c r="B29" s="40" t="s">
        <v>1176</v>
      </c>
      <c r="C29" s="358">
        <f>VLOOKUP($A29,[0]!Data,254,FALSE)</f>
        <v>67446</v>
      </c>
      <c r="D29" s="358">
        <f>VLOOKUP($A29,[0]!Data,255,FALSE)</f>
        <v>52814</v>
      </c>
      <c r="E29" s="358">
        <f>VLOOKUP($A29,[0]!Data,256,FALSE)</f>
        <v>120260</v>
      </c>
      <c r="F29" s="248">
        <f>E29/'Table 1'!D29</f>
        <v>0.56088017051204919</v>
      </c>
      <c r="G29" s="358">
        <f>VLOOKUP($A29,[0]!Data,258,FALSE)</f>
        <v>575420</v>
      </c>
      <c r="H29" s="479">
        <f>G29/'Table 1'!D29</f>
        <v>2.6836992159990301</v>
      </c>
      <c r="I29" s="358">
        <f>VLOOKUP($A29,[0]!Data,299,FALSE)</f>
        <v>160368</v>
      </c>
      <c r="J29" s="479">
        <f>I29/'Table 1'!D29</f>
        <v>0.74793972380406037</v>
      </c>
      <c r="K29" s="358">
        <f>VLOOKUP($A29,[0]!Data,300,FALSE)</f>
        <v>49868</v>
      </c>
      <c r="L29" s="358">
        <f>VLOOKUP($A29,[0]!Data,301,FALSE)</f>
        <v>5304</v>
      </c>
      <c r="M29" s="358">
        <f>VLOOKUP($A29,[0]!Data,305,FALSE)</f>
        <v>259</v>
      </c>
      <c r="N29" s="360">
        <f>VLOOKUP($A29,[0]!Data,306,FALSE)</f>
        <v>1318</v>
      </c>
    </row>
    <row r="30" spans="1:14" x14ac:dyDescent="0.25">
      <c r="A30" s="40" t="s">
        <v>1187</v>
      </c>
      <c r="B30" s="40" t="s">
        <v>1948</v>
      </c>
      <c r="C30" s="358">
        <f>VLOOKUP($A30,[0]!Data,254,FALSE)</f>
        <v>35548</v>
      </c>
      <c r="D30" s="358">
        <f>VLOOKUP($A30,[0]!Data,255,FALSE)</f>
        <v>5327</v>
      </c>
      <c r="E30" s="358">
        <f>VLOOKUP($A30,[0]!Data,256,FALSE)</f>
        <v>40875</v>
      </c>
      <c r="F30" s="248">
        <f>E30/'Table 1'!D30</f>
        <v>0.68774923022563228</v>
      </c>
      <c r="G30" s="358">
        <f>VLOOKUP($A30,[0]!Data,258,FALSE)</f>
        <v>191721</v>
      </c>
      <c r="H30" s="479">
        <f>G30/'Table 1'!D30</f>
        <v>3.2258341325526221</v>
      </c>
      <c r="I30" s="358">
        <f>VLOOKUP($A30,[0]!Data,299,FALSE)</f>
        <v>34119</v>
      </c>
      <c r="J30" s="479">
        <f>I30/'Table 1'!D30</f>
        <v>0.5740750088334764</v>
      </c>
      <c r="K30" s="358">
        <f>VLOOKUP($A30,[0]!Data,300,FALSE)</f>
        <v>9868</v>
      </c>
      <c r="L30" s="358">
        <f>VLOOKUP($A30,[0]!Data,301,FALSE)</f>
        <v>1331</v>
      </c>
      <c r="M30" s="358">
        <f>VLOOKUP($A30,[0]!Data,305,FALSE)</f>
        <v>506</v>
      </c>
      <c r="N30" s="360">
        <f>VLOOKUP($A30,[0]!Data,306,FALSE)</f>
        <v>71</v>
      </c>
    </row>
    <row r="31" spans="1:14" x14ac:dyDescent="0.25">
      <c r="A31" s="40" t="s">
        <v>1201</v>
      </c>
      <c r="B31" s="40" t="s">
        <v>1949</v>
      </c>
      <c r="C31" s="358">
        <f>VLOOKUP($A31,[0]!Data,254,FALSE)</f>
        <v>215117</v>
      </c>
      <c r="D31" s="358">
        <f>VLOOKUP($A31,[0]!Data,255,FALSE)</f>
        <v>63515</v>
      </c>
      <c r="E31" s="358">
        <f>VLOOKUP($A31,[0]!Data,256,FALSE)</f>
        <v>278632</v>
      </c>
      <c r="F31" s="248">
        <f>E31/'Table 1'!D31</f>
        <v>0.66973050409099211</v>
      </c>
      <c r="G31" s="358">
        <f>VLOOKUP($A31,[0]!Data,258,FALSE)</f>
        <v>2692069</v>
      </c>
      <c r="H31" s="479">
        <f>G31/'Table 1'!D31</f>
        <v>6.4707597419454084</v>
      </c>
      <c r="I31" s="358">
        <f>VLOOKUP($A31,[0]!Data,299,FALSE)</f>
        <v>320853</v>
      </c>
      <c r="J31" s="479">
        <f>I31/'Table 1'!D31</f>
        <v>0.771214510282764</v>
      </c>
      <c r="K31" s="358">
        <f>VLOOKUP($A31,[0]!Data,300,FALSE)</f>
        <v>120965</v>
      </c>
      <c r="L31" s="358">
        <f>VLOOKUP($A31,[0]!Data,301,FALSE)</f>
        <v>346</v>
      </c>
      <c r="M31" s="358">
        <f>VLOOKUP($A31,[0]!Data,305,FALSE)</f>
        <v>716</v>
      </c>
      <c r="N31" s="360">
        <f>VLOOKUP($A31,[0]!Data,306,FALSE)</f>
        <v>453</v>
      </c>
    </row>
    <row r="32" spans="1:14" x14ac:dyDescent="0.25">
      <c r="A32" s="40" t="s">
        <v>1218</v>
      </c>
      <c r="B32" s="40" t="s">
        <v>1950</v>
      </c>
      <c r="C32" s="358">
        <f>VLOOKUP($A32,[0]!Data,254,FALSE)</f>
        <v>16717</v>
      </c>
      <c r="D32" s="358">
        <f>VLOOKUP($A32,[0]!Data,255,FALSE)</f>
        <v>5319</v>
      </c>
      <c r="E32" s="358">
        <f>VLOOKUP($A32,[0]!Data,256,FALSE)</f>
        <v>22036</v>
      </c>
      <c r="F32" s="248">
        <f>E32/'Table 1'!D32</f>
        <v>0.59461939070131409</v>
      </c>
      <c r="G32" s="358">
        <f>VLOOKUP($A32,[0]!Data,258,FALSE)</f>
        <v>69000</v>
      </c>
      <c r="H32" s="479">
        <f>G32/'Table 1'!D32</f>
        <v>1.8618958957338299</v>
      </c>
      <c r="I32" s="358">
        <f>VLOOKUP($A32,[0]!Data,299,FALSE)</f>
        <v>17929</v>
      </c>
      <c r="J32" s="479">
        <f>I32/'Table 1'!D32</f>
        <v>0.48379610890741792</v>
      </c>
      <c r="K32" s="358">
        <f>VLOOKUP($A32,[0]!Data,300,FALSE)</f>
        <v>13395</v>
      </c>
      <c r="L32" s="358">
        <f>VLOOKUP($A32,[0]!Data,301,FALSE)</f>
        <v>9455</v>
      </c>
      <c r="M32" s="358">
        <f>VLOOKUP($A32,[0]!Data,305,FALSE)</f>
        <v>2</v>
      </c>
      <c r="N32" s="360">
        <f>VLOOKUP($A32,[0]!Data,306,FALSE)</f>
        <v>18</v>
      </c>
    </row>
    <row r="33" spans="1:14" x14ac:dyDescent="0.25">
      <c r="A33" s="40" t="s">
        <v>1232</v>
      </c>
      <c r="B33" s="40" t="s">
        <v>1951</v>
      </c>
      <c r="C33" s="358">
        <f>VLOOKUP($A33,[0]!Data,254,FALSE)</f>
        <v>49782</v>
      </c>
      <c r="D33" s="358">
        <f>VLOOKUP($A33,[0]!Data,255,FALSE)</f>
        <v>12283</v>
      </c>
      <c r="E33" s="358">
        <f>VLOOKUP($A33,[0]!Data,256,FALSE)</f>
        <v>62065</v>
      </c>
      <c r="F33" s="248">
        <f>E33/'Table 1'!D33</f>
        <v>0.48193472740967364</v>
      </c>
      <c r="G33" s="358">
        <f>VLOOKUP($A33,[0]!Data,258,FALSE)</f>
        <v>255162</v>
      </c>
      <c r="H33" s="479">
        <f>G33/'Table 1'!D33</f>
        <v>1.9813329399066646</v>
      </c>
      <c r="I33" s="358">
        <f>VLOOKUP($A33,[0]!Data,299,FALSE)</f>
        <v>5572</v>
      </c>
      <c r="J33" s="479">
        <f>I33/'Table 1'!D33</f>
        <v>4.3266580216332902E-2</v>
      </c>
      <c r="K33" s="358">
        <f>VLOOKUP($A33,[0]!Data,300,FALSE)</f>
        <v>3264</v>
      </c>
      <c r="L33" s="358">
        <f>VLOOKUP($A33,[0]!Data,301,FALSE)</f>
        <v>2088</v>
      </c>
      <c r="M33" s="358">
        <f>VLOOKUP($A33,[0]!Data,305,FALSE)</f>
        <v>9417</v>
      </c>
      <c r="N33" s="360">
        <f>VLOOKUP($A33,[0]!Data,306,FALSE)</f>
        <v>8754</v>
      </c>
    </row>
    <row r="34" spans="1:14" x14ac:dyDescent="0.25">
      <c r="A34" s="40" t="s">
        <v>1256</v>
      </c>
      <c r="B34" s="40" t="s">
        <v>1952</v>
      </c>
      <c r="C34" s="358">
        <f>VLOOKUP($A34,[0]!Data,254,FALSE)</f>
        <v>33004</v>
      </c>
      <c r="D34" s="358">
        <f>VLOOKUP($A34,[0]!Data,255,FALSE)</f>
        <v>6102</v>
      </c>
      <c r="E34" s="358">
        <f>VLOOKUP($A34,[0]!Data,256,FALSE)</f>
        <v>39106</v>
      </c>
      <c r="F34" s="248">
        <f>E34/'Table 1'!D34</f>
        <v>0.63308024801282159</v>
      </c>
      <c r="G34" s="358">
        <f>VLOOKUP($A34,[0]!Data,258,FALSE)</f>
        <v>266104</v>
      </c>
      <c r="H34" s="479">
        <f>G34/'Table 1'!D34</f>
        <v>4.3079114794968509</v>
      </c>
      <c r="I34" s="358">
        <f>VLOOKUP($A34,[0]!Data,299,FALSE)</f>
        <v>894</v>
      </c>
      <c r="J34" s="479">
        <f>I34/'Table 1'!D34</f>
        <v>1.4472810865940327E-2</v>
      </c>
      <c r="K34" s="358">
        <f>VLOOKUP($A34,[0]!Data,300,FALSE)</f>
        <v>5000</v>
      </c>
      <c r="L34" s="358">
        <f>VLOOKUP($A34,[0]!Data,301,FALSE)</f>
        <v>104</v>
      </c>
      <c r="M34" s="358">
        <f>VLOOKUP($A34,[0]!Data,305,FALSE)</f>
        <v>26476</v>
      </c>
      <c r="N34" s="360">
        <f>VLOOKUP($A34,[0]!Data,306,FALSE)</f>
        <v>28146</v>
      </c>
    </row>
    <row r="35" spans="1:14" x14ac:dyDescent="0.25">
      <c r="A35" s="40" t="s">
        <v>1268</v>
      </c>
      <c r="B35" s="40" t="s">
        <v>1953</v>
      </c>
      <c r="C35" s="358">
        <f>VLOOKUP($A35,[0]!Data,254,FALSE)</f>
        <v>61693</v>
      </c>
      <c r="D35" s="358">
        <f>VLOOKUP($A35,[0]!Data,255,FALSE)</f>
        <v>12331</v>
      </c>
      <c r="E35" s="358">
        <f>VLOOKUP($A35,[0]!Data,256,FALSE)</f>
        <v>74024</v>
      </c>
      <c r="F35" s="248">
        <f>E35/'Table 1'!D35</f>
        <v>0.64714779035712722</v>
      </c>
      <c r="G35" s="358">
        <f>VLOOKUP($A35,[0]!Data,258,FALSE)</f>
        <v>571475</v>
      </c>
      <c r="H35" s="479">
        <f>G35/'Table 1'!D35</f>
        <v>4.9960659177339686</v>
      </c>
      <c r="I35" s="358">
        <f>VLOOKUP($A35,[0]!Data,299,FALSE)</f>
        <v>115372</v>
      </c>
      <c r="J35" s="479">
        <f>I35/'Table 1'!D35</f>
        <v>1.0086287537701621</v>
      </c>
      <c r="K35" s="358">
        <f>VLOOKUP($A35,[0]!Data,300,FALSE)</f>
        <v>29791</v>
      </c>
      <c r="L35" s="358">
        <f>VLOOKUP($A35,[0]!Data,301,FALSE)</f>
        <v>4171</v>
      </c>
      <c r="M35" s="358">
        <f>VLOOKUP($A35,[0]!Data,305,FALSE)</f>
        <v>28191</v>
      </c>
      <c r="N35" s="360">
        <f>VLOOKUP($A35,[0]!Data,306,FALSE)</f>
        <v>28800</v>
      </c>
    </row>
    <row r="36" spans="1:14" x14ac:dyDescent="0.25">
      <c r="A36" s="40" t="s">
        <v>1328</v>
      </c>
      <c r="B36" s="40" t="s">
        <v>1954</v>
      </c>
      <c r="C36" s="358">
        <f>VLOOKUP($A36,[0]!Data,254,FALSE)</f>
        <v>30591</v>
      </c>
      <c r="D36" s="358">
        <f>VLOOKUP($A36,[0]!Data,255,FALSE)</f>
        <v>30974</v>
      </c>
      <c r="E36" s="358">
        <f>VLOOKUP($A36,[0]!Data,256,FALSE)</f>
        <v>61565</v>
      </c>
      <c r="F36" s="248">
        <f>E36/'Table 1'!D36</f>
        <v>0.45833550471624368</v>
      </c>
      <c r="G36" s="358">
        <f>VLOOKUP($A36,[0]!Data,258,FALSE)</f>
        <v>251707</v>
      </c>
      <c r="H36" s="479">
        <f>G36/'Table 1'!D36</f>
        <v>1.8738935253083984</v>
      </c>
      <c r="I36" s="358">
        <f>VLOOKUP($A36,[0]!Data,299,FALSE)</f>
        <v>53874</v>
      </c>
      <c r="J36" s="479">
        <f>I36/'Table 1'!D36</f>
        <v>0.40107799855572018</v>
      </c>
      <c r="K36" s="358">
        <f>VLOOKUP($A36,[0]!Data,300,FALSE)</f>
        <v>32103</v>
      </c>
      <c r="L36" s="358">
        <f>VLOOKUP($A36,[0]!Data,301,FALSE)</f>
        <v>3293</v>
      </c>
      <c r="M36" s="358">
        <f>VLOOKUP($A36,[0]!Data,305,FALSE)</f>
        <v>21272</v>
      </c>
      <c r="N36" s="360">
        <f>VLOOKUP($A36,[0]!Data,306,FALSE)</f>
        <v>11450</v>
      </c>
    </row>
    <row r="37" spans="1:14" x14ac:dyDescent="0.25">
      <c r="A37" s="40" t="s">
        <v>1585</v>
      </c>
      <c r="B37" s="40" t="s">
        <v>1316</v>
      </c>
      <c r="C37" s="358">
        <f>VLOOKUP($A37,[0]!Data,254,FALSE)</f>
        <v>39606</v>
      </c>
      <c r="D37" s="358">
        <f>VLOOKUP($A37,[0]!Data,255,FALSE)</f>
        <v>11453</v>
      </c>
      <c r="E37" s="358">
        <f>VLOOKUP($A37,[0]!Data,256,FALSE)</f>
        <v>51059</v>
      </c>
      <c r="F37" s="248">
        <f>E37/'Table 1'!D37</f>
        <v>0.30028876747454908</v>
      </c>
      <c r="G37" s="358">
        <f>VLOOKUP($A37,[0]!Data,258,FALSE)</f>
        <v>211900</v>
      </c>
      <c r="H37" s="479">
        <f>G37/'Table 1'!D37</f>
        <v>1.2462286732575441</v>
      </c>
      <c r="I37" s="358">
        <f>VLOOKUP($A37,[0]!Data,299,FALSE)</f>
        <v>110162</v>
      </c>
      <c r="J37" s="479">
        <f>I37/'Table 1'!D37</f>
        <v>0.64788599860027174</v>
      </c>
      <c r="K37" s="358">
        <f>VLOOKUP($A37,[0]!Data,300,FALSE)</f>
        <v>19114</v>
      </c>
      <c r="L37" s="358">
        <f>VLOOKUP($A37,[0]!Data,301,FALSE)</f>
        <v>9650</v>
      </c>
      <c r="M37" s="358">
        <f>VLOOKUP($A37,[0]!Data,305,FALSE)</f>
        <v>13613</v>
      </c>
      <c r="N37" s="360">
        <f>VLOOKUP($A37,[0]!Data,306,FALSE)</f>
        <v>7671</v>
      </c>
    </row>
    <row r="38" spans="1:14" x14ac:dyDescent="0.25">
      <c r="A38" s="40" t="s">
        <v>1352</v>
      </c>
      <c r="B38" s="40" t="s">
        <v>1955</v>
      </c>
      <c r="C38" s="358">
        <f>VLOOKUP($A38,[0]!Data,254,FALSE)</f>
        <v>27680</v>
      </c>
      <c r="D38" s="358">
        <f>VLOOKUP($A38,[0]!Data,255,FALSE)</f>
        <v>7197</v>
      </c>
      <c r="E38" s="358">
        <f>VLOOKUP($A38,[0]!Data,256,FALSE)</f>
        <v>34877</v>
      </c>
      <c r="F38" s="248">
        <f>E38/'Table 1'!D38</f>
        <v>0.58870096549861595</v>
      </c>
      <c r="G38" s="358">
        <f>VLOOKUP($A38,[0]!Data,258,FALSE)</f>
        <v>195884</v>
      </c>
      <c r="H38" s="479">
        <f>G38/'Table 1'!D38</f>
        <v>3.3063938964283301</v>
      </c>
      <c r="I38" s="358">
        <f>VLOOKUP($A38,[0]!Data,299,FALSE)</f>
        <v>16786</v>
      </c>
      <c r="J38" s="479">
        <f>I38/'Table 1'!D38</f>
        <v>0.28333670920261966</v>
      </c>
      <c r="K38" s="358">
        <f>VLOOKUP($A38,[0]!Data,300,FALSE)</f>
        <v>7084</v>
      </c>
      <c r="L38" s="358">
        <f>VLOOKUP($A38,[0]!Data,301,FALSE)</f>
        <v>1712</v>
      </c>
      <c r="M38" s="358">
        <f>VLOOKUP($A38,[0]!Data,305,FALSE)</f>
        <v>8050</v>
      </c>
      <c r="N38" s="360">
        <f>VLOOKUP($A38,[0]!Data,306,FALSE)</f>
        <v>8568</v>
      </c>
    </row>
    <row r="39" spans="1:14" x14ac:dyDescent="0.25">
      <c r="A39" s="40" t="s">
        <v>1365</v>
      </c>
      <c r="B39" s="40" t="s">
        <v>1956</v>
      </c>
      <c r="C39" s="358">
        <f>VLOOKUP($A39,[0]!Data,254,FALSE)</f>
        <v>42844</v>
      </c>
      <c r="D39" s="358">
        <f>VLOOKUP($A39,[0]!Data,255,FALSE)</f>
        <v>27279</v>
      </c>
      <c r="E39" s="358">
        <f>VLOOKUP($A39,[0]!Data,256,FALSE)</f>
        <v>70123</v>
      </c>
      <c r="F39" s="248">
        <f>E39/'Table 1'!D39</f>
        <v>0.85481452586154349</v>
      </c>
      <c r="G39" s="358">
        <f>VLOOKUP($A39,[0]!Data,258,FALSE)</f>
        <v>193242</v>
      </c>
      <c r="H39" s="479">
        <f>G39/'Table 1'!D39</f>
        <v>2.3556617458827547</v>
      </c>
      <c r="I39" s="358">
        <f>VLOOKUP($A39,[0]!Data,299,FALSE)</f>
        <v>17002</v>
      </c>
      <c r="J39" s="479">
        <f>I39/'Table 1'!D39</f>
        <v>0.20725805468530958</v>
      </c>
      <c r="K39" s="358">
        <f>VLOOKUP($A39,[0]!Data,300,FALSE)</f>
        <v>10412</v>
      </c>
      <c r="L39" s="358">
        <f>VLOOKUP($A39,[0]!Data,301,FALSE)</f>
        <v>1717</v>
      </c>
      <c r="M39" s="358">
        <f>VLOOKUP($A39,[0]!Data,305,FALSE)</f>
        <v>0</v>
      </c>
      <c r="N39" s="360">
        <f>VLOOKUP($A39,[0]!Data,306,FALSE)</f>
        <v>6</v>
      </c>
    </row>
    <row r="40" spans="1:14" x14ac:dyDescent="0.25">
      <c r="A40" s="40" t="s">
        <v>1383</v>
      </c>
      <c r="B40" s="40" t="s">
        <v>1957</v>
      </c>
      <c r="C40" s="358">
        <f>VLOOKUP($A40,[0]!Data,254,FALSE)</f>
        <v>6736</v>
      </c>
      <c r="D40" s="358">
        <f>VLOOKUP($A40,[0]!Data,255,FALSE)</f>
        <v>2328</v>
      </c>
      <c r="E40" s="358">
        <f>VLOOKUP($A40,[0]!Data,256,FALSE)</f>
        <v>9064</v>
      </c>
      <c r="F40" s="248">
        <f>E40/'Table 1'!D40</f>
        <v>0.41239364848264254</v>
      </c>
      <c r="G40" s="358">
        <f>VLOOKUP($A40,[0]!Data,258,FALSE)</f>
        <v>119728</v>
      </c>
      <c r="H40" s="479">
        <f>G40/'Table 1'!D40</f>
        <v>5.4473815915191777</v>
      </c>
      <c r="I40" s="358">
        <f>VLOOKUP($A40,[0]!Data,299,FALSE)</f>
        <v>3882</v>
      </c>
      <c r="J40" s="479">
        <f>I40/'Table 1'!D40</f>
        <v>0.17662314027025797</v>
      </c>
      <c r="K40" s="358">
        <f>VLOOKUP($A40,[0]!Data,300,FALSE)</f>
        <v>1330</v>
      </c>
      <c r="L40" s="358">
        <f>VLOOKUP($A40,[0]!Data,301,FALSE)</f>
        <v>193</v>
      </c>
      <c r="M40" s="358">
        <f>VLOOKUP($A40,[0]!Data,305,FALSE)</f>
        <v>1</v>
      </c>
      <c r="N40" s="360">
        <f>VLOOKUP($A40,[0]!Data,306,FALSE)</f>
        <v>5</v>
      </c>
    </row>
    <row r="41" spans="1:14" x14ac:dyDescent="0.25">
      <c r="A41" s="40" t="s">
        <v>1397</v>
      </c>
      <c r="B41" s="40" t="s">
        <v>1958</v>
      </c>
      <c r="C41" s="358">
        <f>VLOOKUP($A41,[0]!Data,254,FALSE)</f>
        <v>15925</v>
      </c>
      <c r="D41" s="358">
        <f>VLOOKUP($A41,[0]!Data,255,FALSE)</f>
        <v>3765</v>
      </c>
      <c r="E41" s="358">
        <f>VLOOKUP($A41,[0]!Data,256,FALSE)</f>
        <v>19690</v>
      </c>
      <c r="F41" s="248">
        <f>E41/'Table 1'!D41</f>
        <v>0.43265216435948145</v>
      </c>
      <c r="G41" s="358">
        <f>VLOOKUP($A41,[0]!Data,258,FALSE)</f>
        <v>107512</v>
      </c>
      <c r="H41" s="479">
        <f>G41/'Table 1'!D41</f>
        <v>2.3623818940892112</v>
      </c>
      <c r="I41" s="358">
        <f>VLOOKUP($A41,[0]!Data,299,FALSE)</f>
        <v>10825</v>
      </c>
      <c r="J41" s="479">
        <f>I41/'Table 1'!D41</f>
        <v>0.23785981103054274</v>
      </c>
      <c r="K41" s="358">
        <f>VLOOKUP($A41,[0]!Data,300,FALSE)</f>
        <v>9348</v>
      </c>
      <c r="L41" s="358">
        <f>VLOOKUP($A41,[0]!Data,301,FALSE)</f>
        <v>898</v>
      </c>
      <c r="M41" s="358">
        <f>VLOOKUP($A41,[0]!Data,305,FALSE)</f>
        <v>6240</v>
      </c>
      <c r="N41" s="360">
        <f>VLOOKUP($A41,[0]!Data,306,FALSE)</f>
        <v>6130</v>
      </c>
    </row>
    <row r="42" spans="1:14" x14ac:dyDescent="0.25">
      <c r="A42" s="40" t="s">
        <v>915</v>
      </c>
      <c r="B42" s="40" t="s">
        <v>1959</v>
      </c>
      <c r="C42" s="358">
        <f>VLOOKUP($A42,[0]!Data,254,FALSE)</f>
        <v>621158</v>
      </c>
      <c r="D42" s="358">
        <f>VLOOKUP($A42,[0]!Data,255,FALSE)</f>
        <v>348488</v>
      </c>
      <c r="E42" s="358">
        <f>VLOOKUP($A42,[0]!Data,256,FALSE)</f>
        <v>969646</v>
      </c>
      <c r="F42" s="248">
        <f>E42/'Table 1'!D42</f>
        <v>0.9203650532250639</v>
      </c>
      <c r="G42" s="358">
        <f>VLOOKUP($A42,[0]!Data,258,FALSE)</f>
        <v>3374184</v>
      </c>
      <c r="H42" s="479">
        <f>G42/'Table 1'!D42</f>
        <v>3.2026956608403059</v>
      </c>
      <c r="I42" s="358">
        <f>VLOOKUP($A42,[0]!Data,299,FALSE)</f>
        <v>1510083</v>
      </c>
      <c r="J42" s="479">
        <f>I42/'Table 1'!D42</f>
        <v>1.433335073489979</v>
      </c>
      <c r="K42" s="358">
        <f>VLOOKUP($A42,[0]!Data,300,FALSE)</f>
        <v>201932</v>
      </c>
      <c r="L42" s="358">
        <f>VLOOKUP($A42,[0]!Data,301,FALSE)</f>
        <v>86038</v>
      </c>
      <c r="M42" s="358">
        <f>VLOOKUP($A42,[0]!Data,305,FALSE)</f>
        <v>3170</v>
      </c>
      <c r="N42" s="360">
        <f>VLOOKUP($A42,[0]!Data,306,FALSE)</f>
        <v>2245</v>
      </c>
    </row>
    <row r="43" spans="1:14" x14ac:dyDescent="0.25">
      <c r="A43" s="40" t="s">
        <v>789</v>
      </c>
      <c r="B43" s="40" t="s">
        <v>1960</v>
      </c>
      <c r="C43" s="358">
        <f>VLOOKUP($A43,[0]!Data,254,FALSE)</f>
        <v>34381</v>
      </c>
      <c r="D43" s="358">
        <f>VLOOKUP($A43,[0]!Data,255,FALSE)</f>
        <v>10507</v>
      </c>
      <c r="E43" s="358">
        <f>VLOOKUP($A43,[0]!Data,256,FALSE)</f>
        <v>44888</v>
      </c>
      <c r="F43" s="248">
        <f>E43/'Table 1'!D43</f>
        <v>0.50328512165040928</v>
      </c>
      <c r="G43" s="358">
        <f>VLOOKUP($A43,[0]!Data,258,FALSE)</f>
        <v>184379</v>
      </c>
      <c r="H43" s="479">
        <f>G43/'Table 1'!D43</f>
        <v>2.0672609036887541</v>
      </c>
      <c r="I43" s="358">
        <f>VLOOKUP($A43,[0]!Data,299,FALSE)</f>
        <v>33983</v>
      </c>
      <c r="J43" s="479">
        <f>I43/'Table 1'!D43</f>
        <v>0.38101805135104833</v>
      </c>
      <c r="K43" s="358">
        <f>VLOOKUP($A43,[0]!Data,300,FALSE)</f>
        <v>12642</v>
      </c>
      <c r="L43" s="358">
        <f>VLOOKUP($A43,[0]!Data,301,FALSE)</f>
        <v>4126</v>
      </c>
      <c r="M43" s="358">
        <f>VLOOKUP($A43,[0]!Data,305,FALSE)</f>
        <v>4340</v>
      </c>
      <c r="N43" s="360">
        <f>VLOOKUP($A43,[0]!Data,306,FALSE)</f>
        <v>5758</v>
      </c>
    </row>
    <row r="44" spans="1:14" x14ac:dyDescent="0.25">
      <c r="A44" s="40" t="s">
        <v>1456</v>
      </c>
      <c r="B44" s="40" t="s">
        <v>1961</v>
      </c>
      <c r="C44" s="358">
        <f>VLOOKUP($A44,[0]!Data,254,FALSE)</f>
        <v>84212</v>
      </c>
      <c r="D44" s="358">
        <f>VLOOKUP($A44,[0]!Data,255,FALSE)</f>
        <v>16274</v>
      </c>
      <c r="E44" s="358">
        <f>VLOOKUP($A44,[0]!Data,256,FALSE)</f>
        <v>100486</v>
      </c>
      <c r="F44" s="248">
        <f>E44/'Table 1'!D44</f>
        <v>0.44938463740116635</v>
      </c>
      <c r="G44" s="358">
        <f>VLOOKUP($A44,[0]!Data,258,FALSE)</f>
        <v>749930</v>
      </c>
      <c r="H44" s="479">
        <f>G44/'Table 1'!D44</f>
        <v>3.3537708847626204</v>
      </c>
      <c r="I44" s="358">
        <f>VLOOKUP($A44,[0]!Data,299,FALSE)</f>
        <v>297690</v>
      </c>
      <c r="J44" s="479">
        <f>I44/'Table 1'!D44</f>
        <v>1.331302994526135</v>
      </c>
      <c r="K44" s="358">
        <f>VLOOKUP($A44,[0]!Data,300,FALSE)</f>
        <v>77978</v>
      </c>
      <c r="L44" s="358">
        <f>VLOOKUP($A44,[0]!Data,301,FALSE)</f>
        <v>10207</v>
      </c>
      <c r="M44" s="358">
        <f>VLOOKUP($A44,[0]!Data,305,FALSE)</f>
        <v>1377</v>
      </c>
      <c r="N44" s="360">
        <f>VLOOKUP($A44,[0]!Data,306,FALSE)</f>
        <v>604</v>
      </c>
    </row>
    <row r="45" spans="1:14" x14ac:dyDescent="0.25">
      <c r="A45" s="40" t="s">
        <v>1489</v>
      </c>
      <c r="B45" s="40" t="s">
        <v>1962</v>
      </c>
      <c r="C45" s="358">
        <f>VLOOKUP($A45,[0]!Data,254,FALSE)</f>
        <v>44661</v>
      </c>
      <c r="D45" s="358">
        <f>VLOOKUP($A45,[0]!Data,255,FALSE)</f>
        <v>13438</v>
      </c>
      <c r="E45" s="358">
        <f>VLOOKUP($A45,[0]!Data,256,FALSE)</f>
        <v>58099</v>
      </c>
      <c r="F45" s="248">
        <f>E45/'Table 1'!D45</f>
        <v>0.29961219922233567</v>
      </c>
      <c r="G45" s="358">
        <f>VLOOKUP($A45,[0]!Data,258,FALSE)</f>
        <v>400029</v>
      </c>
      <c r="H45" s="479">
        <f>G45/'Table 1'!D45</f>
        <v>2.0629196447909899</v>
      </c>
      <c r="I45" s="358">
        <f>VLOOKUP($A45,[0]!Data,299,FALSE)</f>
        <v>80434</v>
      </c>
      <c r="J45" s="479">
        <f>I45/'Table 1'!D45</f>
        <v>0.41479212434378127</v>
      </c>
      <c r="K45" s="358">
        <f>VLOOKUP($A45,[0]!Data,300,FALSE)</f>
        <v>30129</v>
      </c>
      <c r="L45" s="358">
        <f>VLOOKUP($A45,[0]!Data,301,FALSE)</f>
        <v>1766</v>
      </c>
      <c r="M45" s="358">
        <f>VLOOKUP($A45,[0]!Data,305,FALSE)</f>
        <v>660</v>
      </c>
      <c r="N45" s="360">
        <f>VLOOKUP($A45,[0]!Data,306,FALSE)</f>
        <v>240</v>
      </c>
    </row>
    <row r="46" spans="1:14" x14ac:dyDescent="0.25">
      <c r="A46" s="40" t="s">
        <v>1501</v>
      </c>
      <c r="B46" s="40" t="s">
        <v>1516</v>
      </c>
      <c r="C46" s="358">
        <f>VLOOKUP($A46,[0]!Data,254,FALSE)</f>
        <v>14701</v>
      </c>
      <c r="D46" s="358">
        <f>VLOOKUP($A46,[0]!Data,255,FALSE)</f>
        <v>2624</v>
      </c>
      <c r="E46" s="358">
        <f>VLOOKUP($A46,[0]!Data,256,FALSE)</f>
        <v>17325</v>
      </c>
      <c r="F46" s="248">
        <f>E46/'Table 1'!D46</f>
        <v>0.20585544373284537</v>
      </c>
      <c r="G46" s="358">
        <f>VLOOKUP($A46,[0]!Data,258,FALSE)</f>
        <v>240610</v>
      </c>
      <c r="H46" s="479">
        <f>G46/'Table 1'!D46</f>
        <v>2.8589251553569945</v>
      </c>
      <c r="I46" s="358">
        <f>VLOOKUP($A46,[0]!Data,299,FALSE)</f>
        <v>18470</v>
      </c>
      <c r="J46" s="479">
        <f>I46/'Table 1'!D46</f>
        <v>0.21946032010075925</v>
      </c>
      <c r="K46" s="358">
        <f>VLOOKUP($A46,[0]!Data,300,FALSE)</f>
        <v>6936</v>
      </c>
      <c r="L46" s="358">
        <f>VLOOKUP($A46,[0]!Data,301,FALSE)</f>
        <v>360</v>
      </c>
      <c r="M46" s="358">
        <f>VLOOKUP($A46,[0]!Data,305,FALSE)</f>
        <v>13</v>
      </c>
      <c r="N46" s="360">
        <f>VLOOKUP($A46,[0]!Data,306,FALSE)</f>
        <v>183</v>
      </c>
    </row>
    <row r="47" spans="1:14" x14ac:dyDescent="0.25">
      <c r="A47" s="40" t="s">
        <v>1518</v>
      </c>
      <c r="B47" s="40" t="s">
        <v>1963</v>
      </c>
      <c r="C47" s="358">
        <f>VLOOKUP($A47,[0]!Data,254,FALSE)</f>
        <v>10379</v>
      </c>
      <c r="D47" s="358">
        <f>VLOOKUP($A47,[0]!Data,255,FALSE)</f>
        <v>3484</v>
      </c>
      <c r="E47" s="358">
        <f>VLOOKUP($A47,[0]!Data,256,FALSE)</f>
        <v>13863</v>
      </c>
      <c r="F47" s="248">
        <f>E47/'Table 1'!D47</f>
        <v>0.23315225617652499</v>
      </c>
      <c r="G47" s="358">
        <f>VLOOKUP($A47,[0]!Data,258,FALSE)</f>
        <v>127821</v>
      </c>
      <c r="H47" s="479">
        <f>G47/'Table 1'!D47</f>
        <v>2.1497334297583208</v>
      </c>
      <c r="I47" s="358">
        <f>VLOOKUP($A47,[0]!Data,299,FALSE)</f>
        <v>24959</v>
      </c>
      <c r="J47" s="479">
        <f>I47/'Table 1'!D47</f>
        <v>0.41976824366370102</v>
      </c>
      <c r="K47" s="358">
        <f>VLOOKUP($A47,[0]!Data,300,FALSE)</f>
        <v>5409</v>
      </c>
      <c r="L47" s="358">
        <f>VLOOKUP($A47,[0]!Data,301,FALSE)</f>
        <v>1534</v>
      </c>
      <c r="M47" s="358">
        <f>VLOOKUP($A47,[0]!Data,305,FALSE)</f>
        <v>14</v>
      </c>
      <c r="N47" s="360">
        <f>VLOOKUP($A47,[0]!Data,306,FALSE)</f>
        <v>67</v>
      </c>
    </row>
    <row r="48" spans="1:14" x14ac:dyDescent="0.25">
      <c r="A48" s="40" t="s">
        <v>1544</v>
      </c>
      <c r="B48" s="40" t="s">
        <v>1964</v>
      </c>
      <c r="C48" s="358">
        <f>VLOOKUP($A48,[0]!Data,254,FALSE)</f>
        <v>25639</v>
      </c>
      <c r="D48" s="358">
        <f>VLOOKUP($A48,[0]!Data,255,FALSE)</f>
        <v>7194</v>
      </c>
      <c r="E48" s="358">
        <f>VLOOKUP($A48,[0]!Data,256,FALSE)</f>
        <v>32833</v>
      </c>
      <c r="F48" s="248">
        <f>E48/'Table 1'!D48</f>
        <v>0.82644482480869919</v>
      </c>
      <c r="G48" s="358">
        <f>VLOOKUP($A48,[0]!Data,258,FALSE)</f>
        <v>107341</v>
      </c>
      <c r="H48" s="479">
        <f>G48/'Table 1'!D48</f>
        <v>2.7018979057591621</v>
      </c>
      <c r="I48" s="358">
        <f>VLOOKUP($A48,[0]!Data,299,FALSE)</f>
        <v>8341</v>
      </c>
      <c r="J48" s="479">
        <f>I48/'Table 1'!D48</f>
        <v>0.20995267821184052</v>
      </c>
      <c r="K48" s="358">
        <f>VLOOKUP($A48,[0]!Data,300,FALSE)</f>
        <v>2346</v>
      </c>
      <c r="L48" s="358">
        <f>VLOOKUP($A48,[0]!Data,301,FALSE)</f>
        <v>323</v>
      </c>
      <c r="M48" s="358">
        <f>VLOOKUP($A48,[0]!Data,305,FALSE)</f>
        <v>8</v>
      </c>
      <c r="N48" s="360">
        <f>VLOOKUP($A48,[0]!Data,306,FALSE)</f>
        <v>74</v>
      </c>
    </row>
    <row r="49" spans="1:14" x14ac:dyDescent="0.25">
      <c r="A49" s="40" t="s">
        <v>1727</v>
      </c>
      <c r="B49" s="40" t="s">
        <v>1965</v>
      </c>
      <c r="C49" s="358">
        <f>VLOOKUP($A49,[0]!Data,254,FALSE)</f>
        <v>50948</v>
      </c>
      <c r="D49" s="358">
        <f>VLOOKUP($A49,[0]!Data,255,FALSE)</f>
        <v>12322</v>
      </c>
      <c r="E49" s="358">
        <f>VLOOKUP($A49,[0]!Data,256,FALSE)</f>
        <v>63270</v>
      </c>
      <c r="F49" s="248">
        <f>E49/'Table 1'!D49</f>
        <v>0.36953537949361914</v>
      </c>
      <c r="G49" s="358">
        <f>VLOOKUP($A49,[0]!Data,258,FALSE)</f>
        <v>457726</v>
      </c>
      <c r="H49" s="479">
        <f>G49/'Table 1'!D49</f>
        <v>2.6733989428496336</v>
      </c>
      <c r="I49" s="358">
        <f>VLOOKUP($A49,[0]!Data,299,FALSE)</f>
        <v>104998</v>
      </c>
      <c r="J49" s="479">
        <f>I49/'Table 1'!D49</f>
        <v>0.61325234354466607</v>
      </c>
      <c r="K49" s="358">
        <f>VLOOKUP($A49,[0]!Data,300,FALSE)</f>
        <v>17991</v>
      </c>
      <c r="L49" s="358">
        <f>VLOOKUP($A49,[0]!Data,301,FALSE)</f>
        <v>2708</v>
      </c>
      <c r="M49" s="358">
        <f>VLOOKUP($A49,[0]!Data,305,FALSE)</f>
        <v>0</v>
      </c>
      <c r="N49" s="360">
        <f>VLOOKUP($A49,[0]!Data,306,FALSE)</f>
        <v>0</v>
      </c>
    </row>
    <row r="50" spans="1:14" x14ac:dyDescent="0.25">
      <c r="A50" s="40" t="s">
        <v>1573</v>
      </c>
      <c r="B50" s="40" t="s">
        <v>1966</v>
      </c>
      <c r="C50" s="358">
        <f>VLOOKUP($A50,[0]!Data,254,FALSE)</f>
        <v>6161</v>
      </c>
      <c r="D50" s="358">
        <f>VLOOKUP($A50,[0]!Data,255,FALSE)</f>
        <v>773</v>
      </c>
      <c r="E50" s="358">
        <f>VLOOKUP($A50,[0]!Data,256,FALSE)</f>
        <v>6934</v>
      </c>
      <c r="F50" s="248">
        <f>E50/'Table 1'!D50</f>
        <v>0.32971944840703754</v>
      </c>
      <c r="G50" s="358">
        <f>VLOOKUP($A50,[0]!Data,258,FALSE)</f>
        <v>106128</v>
      </c>
      <c r="H50" s="479">
        <f>G50/'Table 1'!D50</f>
        <v>5.046504992867332</v>
      </c>
      <c r="I50" s="358">
        <f>VLOOKUP($A50,[0]!Data,299,FALSE)</f>
        <v>11600</v>
      </c>
      <c r="J50" s="479">
        <f>I50/'Table 1'!D50</f>
        <v>0.5515929624346172</v>
      </c>
      <c r="K50" s="358">
        <f>VLOOKUP($A50,[0]!Data,300,FALSE)</f>
        <v>7500</v>
      </c>
      <c r="L50" s="358">
        <f>VLOOKUP($A50,[0]!Data,301,FALSE)</f>
        <v>825</v>
      </c>
      <c r="M50" s="358">
        <f>VLOOKUP($A50,[0]!Data,305,FALSE)</f>
        <v>3120</v>
      </c>
      <c r="N50" s="360">
        <f>VLOOKUP($A50,[0]!Data,306,FALSE)</f>
        <v>4804</v>
      </c>
    </row>
    <row r="51" spans="1:14" x14ac:dyDescent="0.25">
      <c r="A51" s="40" t="s">
        <v>1597</v>
      </c>
      <c r="B51" s="40" t="s">
        <v>1967</v>
      </c>
      <c r="C51" s="358">
        <f>VLOOKUP($A51,[0]!Data,254,FALSE)</f>
        <v>92255</v>
      </c>
      <c r="D51" s="358">
        <f>VLOOKUP($A51,[0]!Data,255,FALSE)</f>
        <v>50804</v>
      </c>
      <c r="E51" s="358">
        <f>VLOOKUP($A51,[0]!Data,256,FALSE)</f>
        <v>143059</v>
      </c>
      <c r="F51" s="248">
        <f>E51/'Table 1'!D51</f>
        <v>0.99553239017125839</v>
      </c>
      <c r="G51" s="358">
        <f>VLOOKUP($A51,[0]!Data,258,FALSE)</f>
        <v>512094</v>
      </c>
      <c r="H51" s="479">
        <f>G51/'Table 1'!D51</f>
        <v>3.5636077689090544</v>
      </c>
      <c r="I51" s="358">
        <f>VLOOKUP($A51,[0]!Data,299,FALSE)</f>
        <v>99735</v>
      </c>
      <c r="J51" s="479">
        <f>I51/'Table 1'!D51</f>
        <v>0.69404527456315546</v>
      </c>
      <c r="K51" s="358">
        <f>VLOOKUP($A51,[0]!Data,300,FALSE)</f>
        <v>36112</v>
      </c>
      <c r="L51" s="358">
        <f>VLOOKUP($A51,[0]!Data,301,FALSE)</f>
        <v>6567</v>
      </c>
      <c r="M51" s="358">
        <f>VLOOKUP($A51,[0]!Data,305,FALSE)</f>
        <v>290</v>
      </c>
      <c r="N51" s="360">
        <f>VLOOKUP($A51,[0]!Data,306,FALSE)</f>
        <v>133</v>
      </c>
    </row>
    <row r="52" spans="1:14" x14ac:dyDescent="0.25">
      <c r="A52" s="40" t="s">
        <v>1625</v>
      </c>
      <c r="B52" s="40" t="s">
        <v>1968</v>
      </c>
      <c r="C52" s="358">
        <f>VLOOKUP($A52,[0]!Data,254,FALSE)</f>
        <v>18547</v>
      </c>
      <c r="D52" s="358">
        <f>VLOOKUP($A52,[0]!Data,255,FALSE)</f>
        <v>5776</v>
      </c>
      <c r="E52" s="358">
        <f>VLOOKUP($A52,[0]!Data,256,FALSE)</f>
        <v>24323</v>
      </c>
      <c r="F52" s="248">
        <f>E52/'Table 1'!D52</f>
        <v>0.18335255583949583</v>
      </c>
      <c r="G52" s="358">
        <f>VLOOKUP($A52,[0]!Data,258,FALSE)</f>
        <v>127102</v>
      </c>
      <c r="H52" s="479">
        <f>G52/'Table 1'!D52</f>
        <v>0.95812508951657283</v>
      </c>
      <c r="I52" s="358">
        <f>VLOOKUP($A52,[0]!Data,299,FALSE)</f>
        <v>35426</v>
      </c>
      <c r="J52" s="479">
        <f>I52/'Table 1'!D52</f>
        <v>0.26704960914237469</v>
      </c>
      <c r="K52" s="358">
        <f>VLOOKUP($A52,[0]!Data,300,FALSE)</f>
        <v>15123</v>
      </c>
      <c r="L52" s="358">
        <f>VLOOKUP($A52,[0]!Data,301,FALSE)</f>
        <v>6278</v>
      </c>
      <c r="M52" s="358">
        <f>VLOOKUP($A52,[0]!Data,305,FALSE)</f>
        <v>19</v>
      </c>
      <c r="N52" s="360">
        <f>VLOOKUP($A52,[0]!Data,306,FALSE)</f>
        <v>254</v>
      </c>
    </row>
    <row r="53" spans="1:14" x14ac:dyDescent="0.25">
      <c r="A53" s="40" t="s">
        <v>1638</v>
      </c>
      <c r="B53" s="40" t="s">
        <v>1969</v>
      </c>
      <c r="C53" s="358">
        <f>VLOOKUP($A53,[0]!Data,254,FALSE)</f>
        <v>33188</v>
      </c>
      <c r="D53" s="358">
        <f>VLOOKUP($A53,[0]!Data,255,FALSE)</f>
        <v>8667</v>
      </c>
      <c r="E53" s="358">
        <f>VLOOKUP($A53,[0]!Data,256,FALSE)</f>
        <v>41855</v>
      </c>
      <c r="F53" s="248">
        <f>E53/'Table 1'!D53</f>
        <v>0.45548530323970793</v>
      </c>
      <c r="G53" s="358">
        <f>VLOOKUP($A53,[0]!Data,258,FALSE)</f>
        <v>433513</v>
      </c>
      <c r="H53" s="479">
        <f>G53/'Table 1'!D53</f>
        <v>4.717687259905758</v>
      </c>
      <c r="I53" s="358">
        <f>VLOOKUP($A53,[0]!Data,299,FALSE)</f>
        <v>134017</v>
      </c>
      <c r="J53" s="479">
        <f>I53/'Table 1'!D53</f>
        <v>1.4584344495108335</v>
      </c>
      <c r="K53" s="358">
        <f>VLOOKUP($A53,[0]!Data,300,FALSE)</f>
        <v>85527</v>
      </c>
      <c r="L53" s="358">
        <f>VLOOKUP($A53,[0]!Data,301,FALSE)</f>
        <v>56576</v>
      </c>
      <c r="M53" s="358">
        <f>VLOOKUP($A53,[0]!Data,305,FALSE)</f>
        <v>18768</v>
      </c>
      <c r="N53" s="360">
        <f>VLOOKUP($A53,[0]!Data,306,FALSE)</f>
        <v>13169</v>
      </c>
    </row>
    <row r="54" spans="1:14" x14ac:dyDescent="0.25">
      <c r="A54" s="40" t="s">
        <v>1655</v>
      </c>
      <c r="B54" s="40" t="s">
        <v>1970</v>
      </c>
      <c r="C54" s="358">
        <f>VLOOKUP($A54,[0]!Data,254,FALSE)</f>
        <v>65035</v>
      </c>
      <c r="D54" s="358">
        <f>VLOOKUP($A54,[0]!Data,255,FALSE)</f>
        <v>35556</v>
      </c>
      <c r="E54" s="358">
        <f>VLOOKUP($A54,[0]!Data,256,FALSE)</f>
        <v>100591</v>
      </c>
      <c r="F54" s="248">
        <f>E54/'Table 1'!D54</f>
        <v>0.71356316946868126</v>
      </c>
      <c r="G54" s="358">
        <f>VLOOKUP($A54,[0]!Data,258,FALSE)</f>
        <v>393489</v>
      </c>
      <c r="H54" s="479">
        <f>G54/'Table 1'!D54</f>
        <v>2.7912960204298787</v>
      </c>
      <c r="I54" s="358">
        <f>VLOOKUP($A54,[0]!Data,299,FALSE)</f>
        <v>59642</v>
      </c>
      <c r="J54" s="479">
        <f>I54/'Table 1'!D54</f>
        <v>0.42308292544513015</v>
      </c>
      <c r="K54" s="358">
        <f>VLOOKUP($A54,[0]!Data,300,FALSE)</f>
        <v>29406</v>
      </c>
      <c r="L54" s="358">
        <f>VLOOKUP($A54,[0]!Data,301,FALSE)</f>
        <v>693</v>
      </c>
      <c r="M54" s="358">
        <f>VLOOKUP($A54,[0]!Data,305,FALSE)</f>
        <v>668</v>
      </c>
      <c r="N54" s="360">
        <f>VLOOKUP($A54,[0]!Data,306,FALSE)</f>
        <v>16</v>
      </c>
    </row>
    <row r="55" spans="1:14" x14ac:dyDescent="0.25">
      <c r="A55" s="40" t="s">
        <v>1671</v>
      </c>
      <c r="B55" s="40" t="s">
        <v>1971</v>
      </c>
      <c r="C55" s="358">
        <f>VLOOKUP($A55,[0]!Data,254,FALSE)</f>
        <v>11876</v>
      </c>
      <c r="D55" s="358">
        <f>VLOOKUP($A55,[0]!Data,255,FALSE)</f>
        <v>1789</v>
      </c>
      <c r="E55" s="358">
        <f>VLOOKUP($A55,[0]!Data,256,FALSE)</f>
        <v>13665</v>
      </c>
      <c r="F55" s="248">
        <f>E55/'Table 1'!D55</f>
        <v>0.20183743704119464</v>
      </c>
      <c r="G55" s="358">
        <f>VLOOKUP($A55,[0]!Data,258,FALSE)</f>
        <v>78245</v>
      </c>
      <c r="H55" s="479">
        <f>G55/'Table 1'!D55</f>
        <v>1.1557094958864451</v>
      </c>
      <c r="I55" s="358">
        <f>VLOOKUP($A55,[0]!Data,299,FALSE)</f>
        <v>30635</v>
      </c>
      <c r="J55" s="479">
        <f>I55/'Table 1'!D55</f>
        <v>0.45249102698551025</v>
      </c>
      <c r="K55" s="358">
        <f>VLOOKUP($A55,[0]!Data,300,FALSE)</f>
        <v>2646</v>
      </c>
      <c r="L55" s="358">
        <f>VLOOKUP($A55,[0]!Data,301,FALSE)</f>
        <v>240</v>
      </c>
      <c r="M55" s="358">
        <f>VLOOKUP($A55,[0]!Data,305,FALSE)</f>
        <v>7918</v>
      </c>
      <c r="N55" s="360">
        <f>VLOOKUP($A55,[0]!Data,306,FALSE)</f>
        <v>5670</v>
      </c>
    </row>
    <row r="56" spans="1:14" x14ac:dyDescent="0.25">
      <c r="A56" s="40" t="s">
        <v>1683</v>
      </c>
      <c r="B56" s="40" t="s">
        <v>1972</v>
      </c>
      <c r="C56" s="358">
        <f>VLOOKUP($A56,[0]!Data,254,FALSE)</f>
        <v>7569</v>
      </c>
      <c r="D56" s="358">
        <f>VLOOKUP($A56,[0]!Data,255,FALSE)</f>
        <v>1644</v>
      </c>
      <c r="E56" s="358">
        <f>VLOOKUP($A56,[0]!Data,256,FALSE)</f>
        <v>9213</v>
      </c>
      <c r="F56" s="248">
        <f>E56/'Table 1'!D56</f>
        <v>0.14508889903778013</v>
      </c>
      <c r="G56" s="358">
        <f>VLOOKUP($A56,[0]!Data,258,FALSE)</f>
        <v>91032</v>
      </c>
      <c r="H56" s="479">
        <f>G56/'Table 1'!D56</f>
        <v>1.4335973794862911</v>
      </c>
      <c r="I56" s="358">
        <f>VLOOKUP($A56,[0]!Data,299,FALSE)</f>
        <v>52000</v>
      </c>
      <c r="J56" s="479">
        <f>I56/'Table 1'!D56</f>
        <v>0.81891053402415781</v>
      </c>
      <c r="K56" s="358">
        <f>VLOOKUP($A56,[0]!Data,300,FALSE)</f>
        <v>2600</v>
      </c>
      <c r="L56" s="358">
        <f>VLOOKUP($A56,[0]!Data,301,FALSE)</f>
        <v>-1</v>
      </c>
      <c r="M56" s="358">
        <f>VLOOKUP($A56,[0]!Data,305,FALSE)</f>
        <v>6</v>
      </c>
      <c r="N56" s="360">
        <f>VLOOKUP($A56,[0]!Data,306,FALSE)</f>
        <v>140</v>
      </c>
    </row>
    <row r="57" spans="1:14" x14ac:dyDescent="0.25">
      <c r="A57" s="40" t="s">
        <v>1714</v>
      </c>
      <c r="B57" s="40" t="s">
        <v>1973</v>
      </c>
      <c r="C57" s="358">
        <f>VLOOKUP($A57,[0]!Data,254,FALSE)</f>
        <v>7782</v>
      </c>
      <c r="D57" s="358">
        <f>VLOOKUP($A57,[0]!Data,255,FALSE)</f>
        <v>1801</v>
      </c>
      <c r="E57" s="358">
        <f>VLOOKUP($A57,[0]!Data,256,FALSE)</f>
        <v>9583</v>
      </c>
      <c r="F57" s="248">
        <f>E57/'Table 1'!D57</f>
        <v>0.26776383805079773</v>
      </c>
      <c r="G57" s="358">
        <f>VLOOKUP($A57,[0]!Data,258,FALSE)</f>
        <v>72579</v>
      </c>
      <c r="H57" s="479">
        <f>G57/'Table 1'!D57</f>
        <v>2.0279694878314567</v>
      </c>
      <c r="I57" s="358">
        <f>VLOOKUP($A57,[0]!Data,299,FALSE)</f>
        <v>5753</v>
      </c>
      <c r="J57" s="479">
        <f>I57/'Table 1'!D57</f>
        <v>0.16074771577859118</v>
      </c>
      <c r="K57" s="358">
        <f>VLOOKUP($A57,[0]!Data,300,FALSE)</f>
        <v>4748</v>
      </c>
      <c r="L57" s="358">
        <f>VLOOKUP($A57,[0]!Data,301,FALSE)</f>
        <v>229</v>
      </c>
      <c r="M57" s="358">
        <f>VLOOKUP($A57,[0]!Data,305,FALSE)</f>
        <v>3218</v>
      </c>
      <c r="N57" s="360">
        <f>VLOOKUP($A57,[0]!Data,306,FALSE)</f>
        <v>678</v>
      </c>
    </row>
    <row r="58" spans="1:14" x14ac:dyDescent="0.25">
      <c r="A58" s="40" t="s">
        <v>1756</v>
      </c>
      <c r="B58" s="40" t="s">
        <v>1974</v>
      </c>
      <c r="C58" s="358">
        <f>VLOOKUP($A58,[0]!Data,254,FALSE)</f>
        <v>20516</v>
      </c>
      <c r="D58" s="358">
        <f>VLOOKUP($A58,[0]!Data,255,FALSE)</f>
        <v>5339</v>
      </c>
      <c r="E58" s="358">
        <f>VLOOKUP($A58,[0]!Data,256,FALSE)</f>
        <v>25855</v>
      </c>
      <c r="F58" s="248">
        <f>E58/'Table 1'!D58</f>
        <v>0.41869767291217957</v>
      </c>
      <c r="G58" s="358">
        <f>VLOOKUP($A58,[0]!Data,258,FALSE)</f>
        <v>130726</v>
      </c>
      <c r="H58" s="479">
        <f>G58/'Table 1'!D58</f>
        <v>2.1169859597415428</v>
      </c>
      <c r="I58" s="358">
        <f>VLOOKUP($A58,[0]!Data,299,FALSE)</f>
        <v>14040</v>
      </c>
      <c r="J58" s="479">
        <f>I58/'Table 1'!D58</f>
        <v>0.22736473903256627</v>
      </c>
      <c r="K58" s="358">
        <f>VLOOKUP($A58,[0]!Data,300,FALSE)</f>
        <v>9211</v>
      </c>
      <c r="L58" s="358">
        <f>VLOOKUP($A58,[0]!Data,301,FALSE)</f>
        <v>850</v>
      </c>
      <c r="M58" s="358">
        <f>VLOOKUP($A58,[0]!Data,305,FALSE)</f>
        <v>22</v>
      </c>
      <c r="N58" s="360">
        <f>VLOOKUP($A58,[0]!Data,306,FALSE)</f>
        <v>34</v>
      </c>
    </row>
    <row r="59" spans="1:14" x14ac:dyDescent="0.25">
      <c r="A59" s="40" t="s">
        <v>1768</v>
      </c>
      <c r="B59" s="40" t="s">
        <v>1975</v>
      </c>
      <c r="C59" s="358">
        <f>VLOOKUP($A59,[0]!Data,254,FALSE)</f>
        <v>14548</v>
      </c>
      <c r="D59" s="358">
        <f>VLOOKUP($A59,[0]!Data,255,FALSE)</f>
        <v>2994</v>
      </c>
      <c r="E59" s="358">
        <f>VLOOKUP($A59,[0]!Data,256,FALSE)</f>
        <v>17542</v>
      </c>
      <c r="F59" s="248">
        <f>E59/'Table 1'!D59</f>
        <v>0.51384047570227598</v>
      </c>
      <c r="G59" s="358">
        <f>VLOOKUP($A59,[0]!Data,258,FALSE)</f>
        <v>209481</v>
      </c>
      <c r="H59" s="479">
        <f>G59/'Table 1'!D59</f>
        <v>6.1361199800814319</v>
      </c>
      <c r="I59" s="358">
        <f>VLOOKUP($A59,[0]!Data,299,FALSE)</f>
        <v>15171</v>
      </c>
      <c r="J59" s="479">
        <f>I59/'Table 1'!D59</f>
        <v>0.44438911508831541</v>
      </c>
      <c r="K59" s="358">
        <f>VLOOKUP($A59,[0]!Data,300,FALSE)</f>
        <v>7144</v>
      </c>
      <c r="L59" s="358">
        <f>VLOOKUP($A59,[0]!Data,301,FALSE)</f>
        <v>297</v>
      </c>
      <c r="M59" s="358">
        <f>VLOOKUP($A59,[0]!Data,305,FALSE)</f>
        <v>249</v>
      </c>
      <c r="N59" s="360">
        <f>VLOOKUP($A59,[0]!Data,306,FALSE)</f>
        <v>237</v>
      </c>
    </row>
    <row r="60" spans="1:14" x14ac:dyDescent="0.25">
      <c r="A60" s="40" t="s">
        <v>1784</v>
      </c>
      <c r="B60" s="40" t="s">
        <v>1976</v>
      </c>
      <c r="C60" s="358">
        <f>VLOOKUP($A60,[0]!Data,254,FALSE)</f>
        <v>70658</v>
      </c>
      <c r="D60" s="358">
        <f>VLOOKUP($A60,[0]!Data,255,FALSE)</f>
        <v>28199</v>
      </c>
      <c r="E60" s="358">
        <f>VLOOKUP($A60,[0]!Data,256,FALSE)</f>
        <v>98857</v>
      </c>
      <c r="F60" s="248">
        <f>E60/'Table 1'!D60</f>
        <v>0.4414934238438693</v>
      </c>
      <c r="G60" s="358">
        <f>VLOOKUP($A60,[0]!Data,258,FALSE)</f>
        <v>641542</v>
      </c>
      <c r="H60" s="479">
        <f>G60/'Table 1'!D60</f>
        <v>2.8651139941495658</v>
      </c>
      <c r="I60" s="358">
        <f>VLOOKUP($A60,[0]!Data,299,FALSE)</f>
        <v>158631</v>
      </c>
      <c r="J60" s="479">
        <f>I60/'Table 1'!D60</f>
        <v>0.70844293593551122</v>
      </c>
      <c r="K60" s="358">
        <f>VLOOKUP($A60,[0]!Data,300,FALSE)</f>
        <v>49662</v>
      </c>
      <c r="L60" s="358">
        <f>VLOOKUP($A60,[0]!Data,301,FALSE)</f>
        <v>5998</v>
      </c>
      <c r="M60" s="358">
        <f>VLOOKUP($A60,[0]!Data,305,FALSE)</f>
        <v>0</v>
      </c>
      <c r="N60" s="360">
        <f>VLOOKUP($A60,[0]!Data,306,FALSE)</f>
        <v>0</v>
      </c>
    </row>
    <row r="61" spans="1:14" x14ac:dyDescent="0.25">
      <c r="A61" s="40" t="s">
        <v>1531</v>
      </c>
      <c r="B61" s="40" t="s">
        <v>1977</v>
      </c>
      <c r="C61" s="358">
        <f>VLOOKUP($A61,[0]!Data,254,FALSE)</f>
        <v>28727</v>
      </c>
      <c r="D61" s="358">
        <f>VLOOKUP($A61,[0]!Data,255,FALSE)</f>
        <v>3936</v>
      </c>
      <c r="E61" s="358">
        <f>VLOOKUP($A61,[0]!Data,256,FALSE)</f>
        <v>32663</v>
      </c>
      <c r="F61" s="248">
        <f>E61/'Table 1'!D61</f>
        <v>0.72673267326732671</v>
      </c>
      <c r="G61" s="358">
        <f>VLOOKUP($A61,[0]!Data,258,FALSE)</f>
        <v>178000</v>
      </c>
      <c r="H61" s="479">
        <f>G61/'Table 1'!D61</f>
        <v>3.9603960396039604</v>
      </c>
      <c r="I61" s="358">
        <f>VLOOKUP($A61,[0]!Data,299,FALSE)</f>
        <v>15650</v>
      </c>
      <c r="J61" s="479">
        <f>I61/'Table 1'!D61</f>
        <v>0.34820335966180888</v>
      </c>
      <c r="K61" s="358">
        <f>VLOOKUP($A61,[0]!Data,300,FALSE)</f>
        <v>11600</v>
      </c>
      <c r="L61" s="358">
        <f>VLOOKUP($A61,[0]!Data,301,FALSE)</f>
        <v>890</v>
      </c>
      <c r="M61" s="358">
        <f>VLOOKUP($A61,[0]!Data,305,FALSE)</f>
        <v>83</v>
      </c>
      <c r="N61" s="360">
        <f>VLOOKUP($A61,[0]!Data,306,FALSE)</f>
        <v>156</v>
      </c>
    </row>
    <row r="62" spans="1:14" x14ac:dyDescent="0.25">
      <c r="A62" s="40" t="s">
        <v>1799</v>
      </c>
      <c r="B62" s="40" t="s">
        <v>1978</v>
      </c>
      <c r="C62" s="358">
        <f>VLOOKUP($A62,[0]!Data,254,FALSE)</f>
        <v>342807</v>
      </c>
      <c r="D62" s="358">
        <f>VLOOKUP($A62,[0]!Data,255,FALSE)</f>
        <v>76290</v>
      </c>
      <c r="E62" s="358">
        <f>VLOOKUP($A62,[0]!Data,256,FALSE)</f>
        <v>419097</v>
      </c>
      <c r="F62" s="248">
        <f>E62/'Table 1'!D62</f>
        <v>0.40817902737575334</v>
      </c>
      <c r="G62" s="358">
        <f>VLOOKUP($A62,[0]!Data,258,FALSE)</f>
        <v>3376255</v>
      </c>
      <c r="H62" s="479">
        <f>G62/'Table 1'!D62</f>
        <v>3.2882995632813503</v>
      </c>
      <c r="I62" s="358">
        <f>VLOOKUP($A62,[0]!Data,299,FALSE)</f>
        <v>391253</v>
      </c>
      <c r="J62" s="479">
        <f>I62/'Table 1'!D62</f>
        <v>0.38106039651404239</v>
      </c>
      <c r="K62" s="358">
        <f>VLOOKUP($A62,[0]!Data,300,FALSE)</f>
        <v>89215</v>
      </c>
      <c r="L62" s="358">
        <f>VLOOKUP($A62,[0]!Data,301,FALSE)</f>
        <v>18713</v>
      </c>
      <c r="M62" s="358">
        <f>VLOOKUP($A62,[0]!Data,305,FALSE)</f>
        <v>1044</v>
      </c>
      <c r="N62" s="360">
        <f>VLOOKUP($A62,[0]!Data,306,FALSE)</f>
        <v>21907</v>
      </c>
    </row>
    <row r="63" spans="1:14" x14ac:dyDescent="0.25">
      <c r="A63" s="40" t="s">
        <v>1814</v>
      </c>
      <c r="B63" s="40" t="s">
        <v>1979</v>
      </c>
      <c r="C63" s="358">
        <f>VLOOKUP($A63,[0]!Data,254,FALSE)</f>
        <v>7916</v>
      </c>
      <c r="D63" s="358">
        <f>VLOOKUP($A63,[0]!Data,255,FALSE)</f>
        <v>3086</v>
      </c>
      <c r="E63" s="358">
        <f>VLOOKUP($A63,[0]!Data,256,FALSE)</f>
        <v>11002</v>
      </c>
      <c r="F63" s="248">
        <f>E63/'Table 1'!D63</f>
        <v>0.54679190895084739</v>
      </c>
      <c r="G63" s="358">
        <f>VLOOKUP($A63,[0]!Data,258,FALSE)</f>
        <v>59916</v>
      </c>
      <c r="H63" s="479">
        <f>G63/'Table 1'!D63</f>
        <v>2.9777844043536605</v>
      </c>
      <c r="I63" s="358">
        <f>VLOOKUP($A63,[0]!Data,299,FALSE)</f>
        <v>30416</v>
      </c>
      <c r="J63" s="479">
        <f>I63/'Table 1'!D63</f>
        <v>1.5116544903334825</v>
      </c>
      <c r="K63" s="358">
        <f>VLOOKUP($A63,[0]!Data,300,FALSE)</f>
        <v>16249</v>
      </c>
      <c r="L63" s="358">
        <f>VLOOKUP($A63,[0]!Data,301,FALSE)</f>
        <v>597</v>
      </c>
      <c r="M63" s="358">
        <f>VLOOKUP($A63,[0]!Data,305,FALSE)</f>
        <v>36</v>
      </c>
      <c r="N63" s="360">
        <f>VLOOKUP($A63,[0]!Data,306,FALSE)</f>
        <v>74</v>
      </c>
    </row>
    <row r="64" spans="1:14" x14ac:dyDescent="0.25">
      <c r="A64" s="40" t="s">
        <v>1826</v>
      </c>
      <c r="B64" s="40" t="s">
        <v>1980</v>
      </c>
      <c r="C64" s="358">
        <f>VLOOKUP($A64,[0]!Data,254,FALSE)</f>
        <v>34854</v>
      </c>
      <c r="D64" s="358">
        <f>VLOOKUP($A64,[0]!Data,255,FALSE)</f>
        <v>11464</v>
      </c>
      <c r="E64" s="358">
        <f>VLOOKUP($A64,[0]!Data,256,FALSE)</f>
        <v>46318</v>
      </c>
      <c r="F64" s="248">
        <f>E64/'Table 1'!D64</f>
        <v>0.37111403115184927</v>
      </c>
      <c r="G64" s="358">
        <f>VLOOKUP($A64,[0]!Data,258,FALSE)</f>
        <v>260598</v>
      </c>
      <c r="H64" s="479">
        <f>G64/'Table 1'!D64</f>
        <v>2.0879911544131788</v>
      </c>
      <c r="I64" s="358">
        <f>VLOOKUP($A64,[0]!Data,299,FALSE)</f>
        <v>93470</v>
      </c>
      <c r="J64" s="479">
        <f>I64/'Table 1'!D64</f>
        <v>0.74891032626113707</v>
      </c>
      <c r="K64" s="358">
        <f>VLOOKUP($A64,[0]!Data,300,FALSE)</f>
        <v>42647</v>
      </c>
      <c r="L64" s="358">
        <f>VLOOKUP($A64,[0]!Data,301,FALSE)</f>
        <v>4947</v>
      </c>
      <c r="M64" s="358">
        <f>VLOOKUP($A64,[0]!Data,305,FALSE)</f>
        <v>14429</v>
      </c>
      <c r="N64" s="360">
        <f>VLOOKUP($A64,[0]!Data,306,FALSE)</f>
        <v>8592</v>
      </c>
    </row>
    <row r="65" spans="1:14" x14ac:dyDescent="0.25">
      <c r="A65" s="40" t="s">
        <v>1842</v>
      </c>
      <c r="B65" s="40" t="s">
        <v>1981</v>
      </c>
      <c r="C65" s="358">
        <f>VLOOKUP($A65,[0]!Data,254,FALSE)</f>
        <v>34383</v>
      </c>
      <c r="D65" s="358">
        <f>VLOOKUP($A65,[0]!Data,255,FALSE)</f>
        <v>3815</v>
      </c>
      <c r="E65" s="358">
        <f>VLOOKUP($A65,[0]!Data,256,FALSE)</f>
        <v>38198</v>
      </c>
      <c r="F65" s="248">
        <f>E65/'Table 1'!D65</f>
        <v>0.46720810195944129</v>
      </c>
      <c r="G65" s="358">
        <f>VLOOKUP($A65,[0]!Data,258,FALSE)</f>
        <v>192216</v>
      </c>
      <c r="H65" s="479">
        <f>G65/'Table 1'!D65</f>
        <v>2.3510359842461899</v>
      </c>
      <c r="I65" s="358">
        <f>VLOOKUP($A65,[0]!Data,299,FALSE)</f>
        <v>34321</v>
      </c>
      <c r="J65" s="479">
        <f>I65/'Table 1'!D65</f>
        <v>0.41978766603879741</v>
      </c>
      <c r="K65" s="358">
        <f>VLOOKUP($A65,[0]!Data,300,FALSE)</f>
        <v>8490</v>
      </c>
      <c r="L65" s="358">
        <f>VLOOKUP($A65,[0]!Data,301,FALSE)</f>
        <v>929</v>
      </c>
      <c r="M65" s="358">
        <f>VLOOKUP($A65,[0]!Data,305,FALSE)</f>
        <v>191</v>
      </c>
      <c r="N65" s="369">
        <f>VLOOKUP($A65,[0]!Data,306,FALSE)</f>
        <v>143</v>
      </c>
    </row>
    <row r="66" spans="1:14" ht="15.75" thickBot="1" x14ac:dyDescent="0.3">
      <c r="A66" s="648" t="s">
        <v>2068</v>
      </c>
      <c r="B66" s="649"/>
      <c r="C66" s="480">
        <f>SUM(C8:C65)</f>
        <v>3530910</v>
      </c>
      <c r="D66" s="361">
        <f>SUM(D8:D65)</f>
        <v>1218468</v>
      </c>
      <c r="E66" s="361">
        <f>SUM(E8:E65)</f>
        <v>4749378</v>
      </c>
      <c r="F66" s="265">
        <f>AVERAGE(F8:F65)</f>
        <v>0.49534435283085398</v>
      </c>
      <c r="G66" s="361">
        <f>SUM(G8:G65)</f>
        <v>26995920</v>
      </c>
      <c r="H66" s="481">
        <f>AVERAGE(H8:H65)</f>
        <v>2.8817100644730824</v>
      </c>
      <c r="I66" s="361">
        <f>SUM(I8:I65)</f>
        <v>5726066</v>
      </c>
      <c r="J66" s="481">
        <f>AVERAGE(J8:J65)</f>
        <v>0.51692684507836906</v>
      </c>
      <c r="K66" s="361">
        <f>SUM(K8:K65)</f>
        <v>1645202</v>
      </c>
      <c r="L66" s="361">
        <f>SUM(L8:L65)</f>
        <v>340758</v>
      </c>
      <c r="M66" s="361">
        <f>SUM(M8:M65)</f>
        <v>390058</v>
      </c>
      <c r="N66" s="361">
        <f>SUM(N8:N65)</f>
        <v>313437</v>
      </c>
    </row>
    <row r="67" spans="1:14" ht="16.5" thickTop="1" thickBot="1" x14ac:dyDescent="0.3">
      <c r="A67" s="651" t="s">
        <v>1866</v>
      </c>
      <c r="B67" s="651"/>
      <c r="C67" s="53"/>
      <c r="D67" s="53"/>
      <c r="E67" s="53"/>
      <c r="F67" s="269"/>
      <c r="G67" s="53"/>
      <c r="H67" s="53"/>
      <c r="I67" s="53"/>
      <c r="J67" s="53"/>
      <c r="K67" s="53"/>
      <c r="L67" s="53"/>
      <c r="M67" s="53"/>
      <c r="N67" s="54"/>
    </row>
    <row r="68" spans="1:14" ht="15.75" thickTop="1" x14ac:dyDescent="0.25">
      <c r="A68" s="40" t="s">
        <v>692</v>
      </c>
      <c r="B68" s="40" t="s">
        <v>1982</v>
      </c>
      <c r="C68" s="358">
        <f>VLOOKUP($A68,[0]!Data,254,FALSE)</f>
        <v>27031</v>
      </c>
      <c r="D68" s="358">
        <f>VLOOKUP($A68,[0]!Data,255,FALSE)</f>
        <v>6728</v>
      </c>
      <c r="E68" s="358">
        <f>VLOOKUP($A68,[0]!Data,256,FALSE)</f>
        <v>33759</v>
      </c>
      <c r="F68" s="248">
        <f>E68/'Table 1'!D68</f>
        <v>0.44092523901572539</v>
      </c>
      <c r="G68" s="358">
        <f>VLOOKUP($A68,[0]!Data,258,FALSE)</f>
        <v>93214</v>
      </c>
      <c r="H68" s="479">
        <f>G68/'Table 1'!D68</f>
        <v>1.2174651272138342</v>
      </c>
      <c r="I68" s="358">
        <f>VLOOKUP($A68,[0]!Data,299,FALSE)</f>
        <v>15567</v>
      </c>
      <c r="J68" s="479">
        <f>I68/'Table 1'!D68</f>
        <v>0.20332009821848387</v>
      </c>
      <c r="K68" s="358">
        <f>VLOOKUP($A68,[0]!Data,300,FALSE)</f>
        <v>3376</v>
      </c>
      <c r="L68" s="358">
        <f>VLOOKUP($A68,[0]!Data,301,FALSE)</f>
        <v>1262</v>
      </c>
      <c r="M68" s="358">
        <f>VLOOKUP($A68,[0]!Data,305,FALSE)</f>
        <v>0</v>
      </c>
      <c r="N68" s="368">
        <f>VLOOKUP($A68,[0]!Data,306,FALSE)</f>
        <v>0</v>
      </c>
    </row>
    <row r="69" spans="1:14" x14ac:dyDescent="0.25">
      <c r="A69" s="40" t="s">
        <v>739</v>
      </c>
      <c r="B69" s="40" t="s">
        <v>1983</v>
      </c>
      <c r="C69" s="358">
        <f>VLOOKUP($A69,[0]!Data,254,FALSE)</f>
        <v>31903</v>
      </c>
      <c r="D69" s="358">
        <f>VLOOKUP($A69,[0]!Data,255,FALSE)</f>
        <v>7396</v>
      </c>
      <c r="E69" s="358">
        <f>VLOOKUP($A69,[0]!Data,256,FALSE)</f>
        <v>39299</v>
      </c>
      <c r="F69" s="248">
        <f>E69/'Table 1'!D69</f>
        <v>0.76299848561332662</v>
      </c>
      <c r="G69" s="358">
        <f>VLOOKUP($A69,[0]!Data,258,FALSE)</f>
        <v>81820</v>
      </c>
      <c r="H69" s="479">
        <f>G69/'Table 1'!D69</f>
        <v>1.5885527899662175</v>
      </c>
      <c r="I69" s="358">
        <f>VLOOKUP($A69,[0]!Data,299,FALSE)</f>
        <v>31318</v>
      </c>
      <c r="J69" s="479">
        <f>I69/'Table 1'!D69</f>
        <v>0.6080456645827671</v>
      </c>
      <c r="K69" s="358">
        <f>VLOOKUP($A69,[0]!Data,300,FALSE)</f>
        <v>12610</v>
      </c>
      <c r="L69" s="358">
        <f>VLOOKUP($A69,[0]!Data,301,FALSE)</f>
        <v>850</v>
      </c>
      <c r="M69" s="358">
        <f>VLOOKUP($A69,[0]!Data,305,FALSE)</f>
        <v>0</v>
      </c>
      <c r="N69" s="360">
        <f>VLOOKUP($A69,[0]!Data,306,FALSE)</f>
        <v>0</v>
      </c>
    </row>
    <row r="70" spans="1:14" x14ac:dyDescent="0.25">
      <c r="A70" s="40" t="s">
        <v>723</v>
      </c>
      <c r="B70" s="40" t="s">
        <v>1984</v>
      </c>
      <c r="C70" s="358">
        <f>VLOOKUP($A70,[0]!Data,254,FALSE)</f>
        <v>41401</v>
      </c>
      <c r="D70" s="358">
        <f>VLOOKUP($A70,[0]!Data,255,FALSE)</f>
        <v>10027</v>
      </c>
      <c r="E70" s="358">
        <f>VLOOKUP($A70,[0]!Data,256,FALSE)</f>
        <v>51428</v>
      </c>
      <c r="F70" s="248">
        <f>E70/'Table 1'!D70</f>
        <v>0.33753601596188049</v>
      </c>
      <c r="G70" s="358">
        <f>VLOOKUP($A70,[0]!Data,258,FALSE)</f>
        <v>423383</v>
      </c>
      <c r="H70" s="479">
        <f>G70/'Table 1'!D70</f>
        <v>2.7787783123199201</v>
      </c>
      <c r="I70" s="358">
        <f>VLOOKUP($A70,[0]!Data,299,FALSE)</f>
        <v>-1</v>
      </c>
      <c r="J70" s="479">
        <f>I70/'Table 1'!D70</f>
        <v>-6.5632732356280723E-6</v>
      </c>
      <c r="K70" s="358">
        <f>VLOOKUP($A70,[0]!Data,300,FALSE)</f>
        <v>-1</v>
      </c>
      <c r="L70" s="358">
        <f>VLOOKUP($A70,[0]!Data,301,FALSE)</f>
        <v>-1</v>
      </c>
      <c r="M70" s="358">
        <f>VLOOKUP($A70,[0]!Data,305,FALSE)</f>
        <v>15727</v>
      </c>
      <c r="N70" s="360">
        <f>VLOOKUP($A70,[0]!Data,306,FALSE)</f>
        <v>29346</v>
      </c>
    </row>
    <row r="71" spans="1:14" x14ac:dyDescent="0.25">
      <c r="A71" s="40" t="s">
        <v>760</v>
      </c>
      <c r="B71" s="40" t="s">
        <v>1985</v>
      </c>
      <c r="C71" s="358">
        <f>VLOOKUP($A71,[0]!Data,254,FALSE)</f>
        <v>7738</v>
      </c>
      <c r="D71" s="358">
        <f>VLOOKUP($A71,[0]!Data,255,FALSE)</f>
        <v>2338</v>
      </c>
      <c r="E71" s="358">
        <f>VLOOKUP($A71,[0]!Data,256,FALSE)</f>
        <v>10076</v>
      </c>
      <c r="F71" s="248">
        <f>E71/'Table 1'!D71</f>
        <v>0.14977109221713539</v>
      </c>
      <c r="G71" s="358">
        <f>VLOOKUP($A71,[0]!Data,258,FALSE)</f>
        <v>98309</v>
      </c>
      <c r="H71" s="479">
        <f>G71/'Table 1'!D71</f>
        <v>1.4612789107556929</v>
      </c>
      <c r="I71" s="358">
        <f>VLOOKUP($A71,[0]!Data,299,FALSE)</f>
        <v>20630</v>
      </c>
      <c r="J71" s="479">
        <f>I71/'Table 1'!D71</f>
        <v>0.30664724418812056</v>
      </c>
      <c r="K71" s="358">
        <f>VLOOKUP($A71,[0]!Data,300,FALSE)</f>
        <v>4568</v>
      </c>
      <c r="L71" s="358">
        <f>VLOOKUP($A71,[0]!Data,301,FALSE)</f>
        <v>936</v>
      </c>
      <c r="M71" s="358">
        <f>VLOOKUP($A71,[0]!Data,305,FALSE)</f>
        <v>4034</v>
      </c>
      <c r="N71" s="360">
        <f>VLOOKUP($A71,[0]!Data,306,FALSE)</f>
        <v>4095</v>
      </c>
    </row>
    <row r="72" spans="1:14" x14ac:dyDescent="0.25">
      <c r="A72" s="40" t="s">
        <v>975</v>
      </c>
      <c r="B72" s="40" t="s">
        <v>1986</v>
      </c>
      <c r="C72" s="358">
        <f>VLOOKUP($A72,[0]!Data,254,FALSE)</f>
        <v>55516</v>
      </c>
      <c r="D72" s="358">
        <f>VLOOKUP($A72,[0]!Data,255,FALSE)</f>
        <v>11593</v>
      </c>
      <c r="E72" s="358">
        <f>VLOOKUP($A72,[0]!Data,256,FALSE)</f>
        <v>67109</v>
      </c>
      <c r="F72" s="248">
        <f>E72/'Table 1'!D72</f>
        <v>0.35895995806455061</v>
      </c>
      <c r="G72" s="358">
        <f>VLOOKUP($A72,[0]!Data,258,FALSE)</f>
        <v>580822</v>
      </c>
      <c r="H72" s="479">
        <f>G72/'Table 1'!D72</f>
        <v>3.1067642307733454</v>
      </c>
      <c r="I72" s="358">
        <f>VLOOKUP($A72,[0]!Data,299,FALSE)</f>
        <v>141391</v>
      </c>
      <c r="J72" s="479">
        <f>I72/'Table 1'!D72</f>
        <v>0.7562876429496026</v>
      </c>
      <c r="K72" s="358">
        <f>VLOOKUP($A72,[0]!Data,300,FALSE)</f>
        <v>30991</v>
      </c>
      <c r="L72" s="358">
        <f>VLOOKUP($A72,[0]!Data,301,FALSE)</f>
        <v>9010</v>
      </c>
      <c r="M72" s="358">
        <f>VLOOKUP($A72,[0]!Data,305,FALSE)</f>
        <v>224</v>
      </c>
      <c r="N72" s="360">
        <f>VLOOKUP($A72,[0]!Data,306,FALSE)</f>
        <v>231</v>
      </c>
    </row>
    <row r="73" spans="1:14" x14ac:dyDescent="0.25">
      <c r="A73" s="40" t="s">
        <v>1071</v>
      </c>
      <c r="B73" s="40" t="s">
        <v>1987</v>
      </c>
      <c r="C73" s="358">
        <f>VLOOKUP($A73,[0]!Data,254,FALSE)</f>
        <v>40091</v>
      </c>
      <c r="D73" s="358">
        <f>VLOOKUP($A73,[0]!Data,255,FALSE)</f>
        <v>21130</v>
      </c>
      <c r="E73" s="358">
        <f>VLOOKUP($A73,[0]!Data,256,FALSE)</f>
        <v>61221</v>
      </c>
      <c r="F73" s="248">
        <f>E73/'Table 1'!D73</f>
        <v>0.54149603304469351</v>
      </c>
      <c r="G73" s="358">
        <f>VLOOKUP($A73,[0]!Data,258,FALSE)</f>
        <v>390171</v>
      </c>
      <c r="H73" s="479">
        <f>G73/'Table 1'!D73</f>
        <v>3.4510388381287647</v>
      </c>
      <c r="I73" s="358">
        <f>VLOOKUP($A73,[0]!Data,299,FALSE)</f>
        <v>64364</v>
      </c>
      <c r="J73" s="479">
        <f>I73/'Table 1'!D73</f>
        <v>0.56929567747813092</v>
      </c>
      <c r="K73" s="358">
        <f>VLOOKUP($A73,[0]!Data,300,FALSE)</f>
        <v>15956</v>
      </c>
      <c r="L73" s="358">
        <f>VLOOKUP($A73,[0]!Data,301,FALSE)</f>
        <v>1495</v>
      </c>
      <c r="M73" s="358">
        <f>VLOOKUP($A73,[0]!Data,305,FALSE)</f>
        <v>411</v>
      </c>
      <c r="N73" s="360">
        <f>VLOOKUP($A73,[0]!Data,306,FALSE)</f>
        <v>940</v>
      </c>
    </row>
    <row r="74" spans="1:14" x14ac:dyDescent="0.25">
      <c r="A74" s="40" t="s">
        <v>1111</v>
      </c>
      <c r="B74" s="40" t="s">
        <v>1988</v>
      </c>
      <c r="C74" s="358">
        <f>VLOOKUP($A74,[0]!Data,254,FALSE)</f>
        <v>40371</v>
      </c>
      <c r="D74" s="358">
        <f>VLOOKUP($A74,[0]!Data,255,FALSE)</f>
        <v>7112</v>
      </c>
      <c r="E74" s="358">
        <f>VLOOKUP($A74,[0]!Data,256,FALSE)</f>
        <v>47483</v>
      </c>
      <c r="F74" s="248">
        <f>E74/'Table 1'!D74</f>
        <v>0.51995707449546102</v>
      </c>
      <c r="G74" s="358">
        <f>VLOOKUP($A74,[0]!Data,258,FALSE)</f>
        <v>409425</v>
      </c>
      <c r="H74" s="479">
        <f>G74/'Table 1'!D74</f>
        <v>4.4833608917992578</v>
      </c>
      <c r="I74" s="358">
        <f>VLOOKUP($A74,[0]!Data,299,FALSE)</f>
        <v>105757</v>
      </c>
      <c r="J74" s="479">
        <f>I74/'Table 1'!D74</f>
        <v>1.1580797406949113</v>
      </c>
      <c r="K74" s="358">
        <f>VLOOKUP($A74,[0]!Data,300,FALSE)</f>
        <v>40737</v>
      </c>
      <c r="L74" s="358">
        <f>VLOOKUP($A74,[0]!Data,301,FALSE)</f>
        <v>1453</v>
      </c>
      <c r="M74" s="358">
        <f>VLOOKUP($A74,[0]!Data,305,FALSE)</f>
        <v>23507</v>
      </c>
      <c r="N74" s="360">
        <f>VLOOKUP($A74,[0]!Data,306,FALSE)</f>
        <v>11502</v>
      </c>
    </row>
    <row r="75" spans="1:14" x14ac:dyDescent="0.25">
      <c r="A75" s="40" t="s">
        <v>1425</v>
      </c>
      <c r="B75" s="40" t="s">
        <v>1989</v>
      </c>
      <c r="C75" s="358">
        <f>VLOOKUP($A75,[0]!Data,254,FALSE)</f>
        <v>16809</v>
      </c>
      <c r="D75" s="358">
        <f>VLOOKUP($A75,[0]!Data,255,FALSE)</f>
        <v>2305</v>
      </c>
      <c r="E75" s="358">
        <f>VLOOKUP($A75,[0]!Data,256,FALSE)</f>
        <v>19114</v>
      </c>
      <c r="F75" s="248">
        <f>E75/'Table 1'!D75</f>
        <v>0.39211422475690311</v>
      </c>
      <c r="G75" s="358">
        <f>VLOOKUP($A75,[0]!Data,258,FALSE)</f>
        <v>252387</v>
      </c>
      <c r="H75" s="479">
        <f>G75/'Table 1'!D75</f>
        <v>5.1775940589997127</v>
      </c>
      <c r="I75" s="358">
        <f>VLOOKUP($A75,[0]!Data,299,FALSE)</f>
        <v>73446</v>
      </c>
      <c r="J75" s="479">
        <f>I75/'Table 1'!D75</f>
        <v>1.5067082427276084</v>
      </c>
      <c r="K75" s="358">
        <f>VLOOKUP($A75,[0]!Data,300,FALSE)</f>
        <v>2505</v>
      </c>
      <c r="L75" s="358">
        <f>VLOOKUP($A75,[0]!Data,301,FALSE)</f>
        <v>164</v>
      </c>
      <c r="M75" s="358">
        <f>VLOOKUP($A75,[0]!Data,305,FALSE)</f>
        <v>21</v>
      </c>
      <c r="N75" s="360">
        <f>VLOOKUP($A75,[0]!Data,306,FALSE)</f>
        <v>119</v>
      </c>
    </row>
    <row r="76" spans="1:14" x14ac:dyDescent="0.25">
      <c r="A76" s="40" t="s">
        <v>1442</v>
      </c>
      <c r="B76" s="40" t="s">
        <v>1990</v>
      </c>
      <c r="C76" s="358">
        <f>VLOOKUP($A76,[0]!Data,254,FALSE)</f>
        <v>38978</v>
      </c>
      <c r="D76" s="358">
        <f>VLOOKUP($A76,[0]!Data,255,FALSE)</f>
        <v>10876</v>
      </c>
      <c r="E76" s="358">
        <f>VLOOKUP($A76,[0]!Data,256,FALSE)</f>
        <v>49854</v>
      </c>
      <c r="F76" s="248">
        <f>E76/'Table 1'!D76</f>
        <v>0.55788814037286538</v>
      </c>
      <c r="G76" s="358">
        <f>VLOOKUP($A76,[0]!Data,258,FALSE)</f>
        <v>423663</v>
      </c>
      <c r="H76" s="479">
        <f>G76/'Table 1'!D76</f>
        <v>4.7409749110360107</v>
      </c>
      <c r="I76" s="358">
        <f>VLOOKUP($A76,[0]!Data,299,FALSE)</f>
        <v>123347</v>
      </c>
      <c r="J76" s="479">
        <f>I76/'Table 1'!D76</f>
        <v>1.3803070656431145</v>
      </c>
      <c r="K76" s="358">
        <f>VLOOKUP($A76,[0]!Data,300,FALSE)</f>
        <v>64917</v>
      </c>
      <c r="L76" s="358">
        <f>VLOOKUP($A76,[0]!Data,301,FALSE)</f>
        <v>20961</v>
      </c>
      <c r="M76" s="358">
        <f>VLOOKUP($A76,[0]!Data,305,FALSE)</f>
        <v>17546</v>
      </c>
      <c r="N76" s="360">
        <f>VLOOKUP($A76,[0]!Data,306,FALSE)</f>
        <v>3650</v>
      </c>
    </row>
    <row r="77" spans="1:14" x14ac:dyDescent="0.25">
      <c r="A77" s="40" t="s">
        <v>1472</v>
      </c>
      <c r="B77" s="40" t="s">
        <v>1991</v>
      </c>
      <c r="C77" s="358">
        <f>VLOOKUP($A77,[0]!Data,254,FALSE)</f>
        <v>43383</v>
      </c>
      <c r="D77" s="358">
        <f>VLOOKUP($A77,[0]!Data,255,FALSE)</f>
        <v>18347</v>
      </c>
      <c r="E77" s="358">
        <f>VLOOKUP($A77,[0]!Data,256,FALSE)</f>
        <v>61730</v>
      </c>
      <c r="F77" s="248">
        <f>E77/'Table 1'!D77</f>
        <v>0.36630449617555083</v>
      </c>
      <c r="G77" s="358">
        <f>VLOOKUP($A77,[0]!Data,258,FALSE)</f>
        <v>337669</v>
      </c>
      <c r="H77" s="479">
        <f>G77/'Table 1'!D77</f>
        <v>2.003720604553735</v>
      </c>
      <c r="I77" s="358">
        <f>VLOOKUP($A77,[0]!Data,299,FALSE)</f>
        <v>280000</v>
      </c>
      <c r="J77" s="479">
        <f>I77/'Table 1'!D77</f>
        <v>1.661513995288421</v>
      </c>
      <c r="K77" s="358">
        <f>VLOOKUP($A77,[0]!Data,300,FALSE)</f>
        <v>74209</v>
      </c>
      <c r="L77" s="358">
        <f>VLOOKUP($A77,[0]!Data,301,FALSE)</f>
        <v>28452</v>
      </c>
      <c r="M77" s="358">
        <f>VLOOKUP($A77,[0]!Data,305,FALSE)</f>
        <v>15656</v>
      </c>
      <c r="N77" s="360">
        <f>VLOOKUP($A77,[0]!Data,306,FALSE)</f>
        <v>20477</v>
      </c>
    </row>
    <row r="78" spans="1:14" x14ac:dyDescent="0.25">
      <c r="A78" s="40" t="s">
        <v>1558</v>
      </c>
      <c r="B78" s="40" t="s">
        <v>1992</v>
      </c>
      <c r="C78" s="358">
        <f>VLOOKUP($A78,[0]!Data,254,FALSE)</f>
        <v>17645</v>
      </c>
      <c r="D78" s="358">
        <f>VLOOKUP($A78,[0]!Data,255,FALSE)</f>
        <v>5108</v>
      </c>
      <c r="E78" s="358">
        <f>VLOOKUP($A78,[0]!Data,256,FALSE)</f>
        <v>22753</v>
      </c>
      <c r="F78" s="248">
        <f>E78/'Table 1'!D78</f>
        <v>0.51093595616635223</v>
      </c>
      <c r="G78" s="358">
        <f>VLOOKUP($A78,[0]!Data,258,FALSE)</f>
        <v>244464</v>
      </c>
      <c r="H78" s="479">
        <f>G78/'Table 1'!D78</f>
        <v>5.4896254378873621</v>
      </c>
      <c r="I78" s="358">
        <f>VLOOKUP($A78,[0]!Data,299,FALSE)</f>
        <v>18391</v>
      </c>
      <c r="J78" s="479">
        <f>I78/'Table 1'!D78</f>
        <v>0.41298392167430165</v>
      </c>
      <c r="K78" s="358">
        <f>VLOOKUP($A78,[0]!Data,300,FALSE)</f>
        <v>6053</v>
      </c>
      <c r="L78" s="358">
        <f>VLOOKUP($A78,[0]!Data,301,FALSE)</f>
        <v>1392</v>
      </c>
      <c r="M78" s="358">
        <f>VLOOKUP($A78,[0]!Data,305,FALSE)</f>
        <v>40</v>
      </c>
      <c r="N78" s="360">
        <f>VLOOKUP($A78,[0]!Data,306,FALSE)</f>
        <v>124</v>
      </c>
    </row>
    <row r="79" spans="1:14" x14ac:dyDescent="0.25">
      <c r="A79" s="40" t="s">
        <v>1696</v>
      </c>
      <c r="B79" s="40" t="s">
        <v>1993</v>
      </c>
      <c r="C79" s="358">
        <f>VLOOKUP($A79,[0]!Data,254,FALSE)</f>
        <v>97684</v>
      </c>
      <c r="D79" s="358">
        <f>VLOOKUP($A79,[0]!Data,255,FALSE)</f>
        <v>30972</v>
      </c>
      <c r="E79" s="358">
        <f>VLOOKUP($A79,[0]!Data,256,FALSE)</f>
        <v>128656</v>
      </c>
      <c r="F79" s="248">
        <f>E79/'Table 1'!D79</f>
        <v>0.55248466942645624</v>
      </c>
      <c r="G79" s="358">
        <f>VLOOKUP($A79,[0]!Data,258,FALSE)</f>
        <v>415423</v>
      </c>
      <c r="H79" s="479">
        <f>G79/'Table 1'!D79</f>
        <v>1.783941975711562</v>
      </c>
      <c r="I79" s="358">
        <f>VLOOKUP($A79,[0]!Data,299,FALSE)</f>
        <v>82280</v>
      </c>
      <c r="J79" s="479">
        <f>I79/'Table 1'!D79</f>
        <v>0.35333321881924523</v>
      </c>
      <c r="K79" s="358">
        <f>VLOOKUP($A79,[0]!Data,300,FALSE)</f>
        <v>19006</v>
      </c>
      <c r="L79" s="358">
        <f>VLOOKUP($A79,[0]!Data,301,FALSE)</f>
        <v>9864</v>
      </c>
      <c r="M79" s="358">
        <f>VLOOKUP($A79,[0]!Data,305,FALSE)</f>
        <v>151</v>
      </c>
      <c r="N79" s="360">
        <f>VLOOKUP($A79,[0]!Data,306,FALSE)</f>
        <v>39</v>
      </c>
    </row>
    <row r="80" spans="1:14" ht="15.75" thickBot="1" x14ac:dyDescent="0.3">
      <c r="A80" s="648" t="s">
        <v>2068</v>
      </c>
      <c r="B80" s="649"/>
      <c r="C80" s="361">
        <f>SUM(C68:C79)</f>
        <v>458550</v>
      </c>
      <c r="D80" s="361">
        <f>SUM(D68:D79)</f>
        <v>133932</v>
      </c>
      <c r="E80" s="361">
        <f>SUM(E68:E79)</f>
        <v>592482</v>
      </c>
      <c r="F80" s="324">
        <f>AVERAGE(F68:F79)</f>
        <v>0.45761428210924177</v>
      </c>
      <c r="G80" s="361">
        <f>SUM(G68:G79)</f>
        <v>3750750</v>
      </c>
      <c r="H80" s="483">
        <f>AVERAGE(H68:H79)</f>
        <v>3.1069246740954513</v>
      </c>
      <c r="I80" s="361">
        <f>SUM(I68:I79)</f>
        <v>956490</v>
      </c>
      <c r="J80" s="483">
        <f>AVERAGE(J68:J79)</f>
        <v>0.74304299574928923</v>
      </c>
      <c r="K80" s="361">
        <f>SUM(K68:K79)</f>
        <v>274927</v>
      </c>
      <c r="L80" s="361">
        <f>SUM(L68:L79)</f>
        <v>75838</v>
      </c>
      <c r="M80" s="361">
        <f>SUM(M68:M79)</f>
        <v>77317</v>
      </c>
      <c r="N80" s="48">
        <f>SUM(N68:N79)</f>
        <v>70523</v>
      </c>
    </row>
    <row r="81" spans="1:17" ht="16.5" thickTop="1" thickBot="1" x14ac:dyDescent="0.3">
      <c r="A81" s="58"/>
      <c r="B81" s="49" t="s">
        <v>1867</v>
      </c>
      <c r="C81" s="53"/>
      <c r="D81" s="53"/>
      <c r="E81" s="53"/>
      <c r="F81" s="269"/>
      <c r="G81" s="53"/>
      <c r="H81" s="53"/>
      <c r="I81" s="53"/>
      <c r="J81" s="53"/>
      <c r="K81" s="53"/>
      <c r="L81" s="53"/>
      <c r="M81" s="53"/>
      <c r="N81" s="54"/>
    </row>
    <row r="82" spans="1:17" ht="15.75" thickTop="1" x14ac:dyDescent="0.25">
      <c r="A82" s="55" t="s">
        <v>897</v>
      </c>
      <c r="B82" s="40" t="s">
        <v>1994</v>
      </c>
      <c r="C82" s="358">
        <f>VLOOKUP($A82,[0]!Data,254,FALSE)</f>
        <v>43049</v>
      </c>
      <c r="D82" s="358">
        <f>VLOOKUP($A82,[0]!Data,255,FALSE)</f>
        <v>8046</v>
      </c>
      <c r="E82" s="358">
        <f>VLOOKUP($A82,[0]!Data,256,FALSE)</f>
        <v>51095</v>
      </c>
      <c r="F82" s="248">
        <f>E82/'Table 1'!D82</f>
        <v>0.85368909977945595</v>
      </c>
      <c r="G82" s="358">
        <f>VLOOKUP($A82,[0]!Data,258,FALSE)</f>
        <v>591118</v>
      </c>
      <c r="H82" s="479">
        <f>G82/'Table 1'!D82</f>
        <v>9.8763282764151565</v>
      </c>
      <c r="I82" s="358">
        <f>VLOOKUP($A82,[0]!Data,299,FALSE)</f>
        <v>0</v>
      </c>
      <c r="J82" s="479">
        <f>I82/'Table 1'!D82</f>
        <v>0</v>
      </c>
      <c r="K82" s="358">
        <f>VLOOKUP($A82,[0]!Data,300,FALSE)</f>
        <v>0</v>
      </c>
      <c r="L82" s="358">
        <f>VLOOKUP($A82,[0]!Data,301,FALSE)</f>
        <v>0</v>
      </c>
      <c r="M82" s="358">
        <f>VLOOKUP($A82,[0]!Data,305,FALSE)</f>
        <v>0</v>
      </c>
      <c r="N82" s="368">
        <f>VLOOKUP($A82,[0]!Data,306,FALSE)</f>
        <v>0</v>
      </c>
    </row>
    <row r="83" spans="1:17" x14ac:dyDescent="0.25">
      <c r="A83" s="55" t="s">
        <v>1312</v>
      </c>
      <c r="B83" s="40" t="s">
        <v>1868</v>
      </c>
      <c r="C83" s="358">
        <f>VLOOKUP($A83,[0]!Data,254,FALSE)</f>
        <v>3896</v>
      </c>
      <c r="D83" s="358">
        <f>VLOOKUP($A83,[0]!Data,255,FALSE)</f>
        <v>505</v>
      </c>
      <c r="E83" s="358">
        <f>VLOOKUP($A83,[0]!Data,256,FALSE)</f>
        <v>4401</v>
      </c>
      <c r="F83" s="248">
        <f>E83/'Table 1'!D83</f>
        <v>0.22654038194265713</v>
      </c>
      <c r="G83" s="358">
        <f>VLOOKUP($A83,[0]!Data,258,FALSE)</f>
        <v>59721</v>
      </c>
      <c r="H83" s="479">
        <f>G83/'Table 1'!D83</f>
        <v>3.0741236423534257</v>
      </c>
      <c r="I83" s="358">
        <f>VLOOKUP($A83,[0]!Data,299,FALSE)</f>
        <v>20041</v>
      </c>
      <c r="J83" s="479">
        <f>I83/'Table 1'!D83</f>
        <v>1.0316054975034745</v>
      </c>
      <c r="K83" s="358">
        <f>VLOOKUP($A83,[0]!Data,300,FALSE)</f>
        <v>505</v>
      </c>
      <c r="L83" s="358">
        <f>VLOOKUP($A83,[0]!Data,301,FALSE)</f>
        <v>76</v>
      </c>
      <c r="M83" s="358">
        <f>VLOOKUP($A83,[0]!Data,305,FALSE)</f>
        <v>0</v>
      </c>
      <c r="N83" s="360">
        <f>VLOOKUP($A83,[0]!Data,306,FALSE)</f>
        <v>305</v>
      </c>
    </row>
    <row r="84" spans="1:17" x14ac:dyDescent="0.25">
      <c r="A84" s="55" t="s">
        <v>1100</v>
      </c>
      <c r="B84" s="40" t="s">
        <v>1995</v>
      </c>
      <c r="C84" s="358">
        <f>VLOOKUP($A84,[0]!Data,254,FALSE)</f>
        <v>5225</v>
      </c>
      <c r="D84" s="358">
        <f>VLOOKUP($A84,[0]!Data,255,FALSE)</f>
        <v>25201</v>
      </c>
      <c r="E84" s="358">
        <f>VLOOKUP($A84,[0]!Data,256,FALSE)</f>
        <v>30426</v>
      </c>
      <c r="F84" s="248">
        <f>E84/'Table 1'!D84</f>
        <v>6.5152034261241969</v>
      </c>
      <c r="G84" s="358">
        <f>VLOOKUP($A84,[0]!Data,258,FALSE)</f>
        <v>33496</v>
      </c>
      <c r="H84" s="479">
        <f>G84/'Table 1'!D84</f>
        <v>7.1725910064239828</v>
      </c>
      <c r="I84" s="358">
        <f>VLOOKUP($A84,[0]!Data,299,FALSE)</f>
        <v>13121</v>
      </c>
      <c r="J84" s="479">
        <f>I84/'Table 1'!D84</f>
        <v>2.8096359743040686</v>
      </c>
      <c r="K84" s="358">
        <f>VLOOKUP($A84,[0]!Data,300,FALSE)</f>
        <v>2761</v>
      </c>
      <c r="L84" s="358">
        <f>VLOOKUP($A84,[0]!Data,301,FALSE)</f>
        <v>39</v>
      </c>
      <c r="M84" s="358">
        <f>VLOOKUP($A84,[0]!Data,305,FALSE)</f>
        <v>2150</v>
      </c>
      <c r="N84" s="360">
        <f>VLOOKUP($A84,[0]!Data,306,FALSE)</f>
        <v>791</v>
      </c>
    </row>
    <row r="85" spans="1:17" x14ac:dyDescent="0.25">
      <c r="A85" s="55" t="s">
        <v>1281</v>
      </c>
      <c r="B85" s="40" t="s">
        <v>1996</v>
      </c>
      <c r="C85" s="358">
        <f>VLOOKUP($A85,[0]!Data,254,FALSE)</f>
        <v>28622</v>
      </c>
      <c r="D85" s="358">
        <f>VLOOKUP($A85,[0]!Data,255,FALSE)</f>
        <v>7767</v>
      </c>
      <c r="E85" s="358">
        <f>VLOOKUP($A85,[0]!Data,256,FALSE)</f>
        <v>36389</v>
      </c>
      <c r="F85" s="248">
        <f>E85/'Table 1'!D85</f>
        <v>0.89953773514943269</v>
      </c>
      <c r="G85" s="358">
        <f>VLOOKUP($A85,[0]!Data,258,FALSE)</f>
        <v>323925</v>
      </c>
      <c r="H85" s="479">
        <f>G85/'Table 1'!D85</f>
        <v>8.0074407336909506</v>
      </c>
      <c r="I85" s="358">
        <f>VLOOKUP($A85,[0]!Data,299,FALSE)</f>
        <v>56493</v>
      </c>
      <c r="J85" s="479">
        <f>I85/'Table 1'!D85</f>
        <v>1.3965095295775345</v>
      </c>
      <c r="K85" s="358">
        <f>VLOOKUP($A85,[0]!Data,300,FALSE)</f>
        <v>25884</v>
      </c>
      <c r="L85" s="358">
        <f>VLOOKUP($A85,[0]!Data,301,FALSE)</f>
        <v>2735</v>
      </c>
      <c r="M85" s="358">
        <f>VLOOKUP($A85,[0]!Data,305,FALSE)</f>
        <v>161</v>
      </c>
      <c r="N85" s="360">
        <f>VLOOKUP($A85,[0]!Data,306,FALSE)</f>
        <v>332</v>
      </c>
    </row>
    <row r="86" spans="1:17" x14ac:dyDescent="0.25">
      <c r="A86" s="55" t="s">
        <v>1297</v>
      </c>
      <c r="B86" s="40" t="s">
        <v>1997</v>
      </c>
      <c r="C86" s="358">
        <f>VLOOKUP($A86,[0]!Data,254,FALSE)</f>
        <v>74987</v>
      </c>
      <c r="D86" s="358">
        <f>VLOOKUP($A86,[0]!Data,255,FALSE)</f>
        <v>14002</v>
      </c>
      <c r="E86" s="358">
        <f>VLOOKUP($A86,[0]!Data,256,FALSE)</f>
        <v>88989</v>
      </c>
      <c r="F86" s="248">
        <f>E86/'Table 1'!D86</f>
        <v>0.80720039185806025</v>
      </c>
      <c r="G86" s="358">
        <f>VLOOKUP($A86,[0]!Data,258,FALSE)</f>
        <v>313997</v>
      </c>
      <c r="H86" s="479">
        <f>G86/'Table 1'!D86</f>
        <v>2.8482003555749067</v>
      </c>
      <c r="I86" s="358">
        <f>VLOOKUP($A86,[0]!Data,299,FALSE)</f>
        <v>101630</v>
      </c>
      <c r="J86" s="479">
        <f>I86/'Table 1'!D86</f>
        <v>0.92186422843873594</v>
      </c>
      <c r="K86" s="358">
        <f>VLOOKUP($A86,[0]!Data,300,FALSE)</f>
        <v>9302</v>
      </c>
      <c r="L86" s="358">
        <f>VLOOKUP($A86,[0]!Data,301,FALSE)</f>
        <v>421</v>
      </c>
      <c r="M86" s="358">
        <f>VLOOKUP($A86,[0]!Data,305,FALSE)</f>
        <v>1890</v>
      </c>
      <c r="N86" s="360">
        <f>VLOOKUP($A86,[0]!Data,306,FALSE)</f>
        <v>915</v>
      </c>
    </row>
    <row r="87" spans="1:17" x14ac:dyDescent="0.25">
      <c r="A87" s="55" t="s">
        <v>1341</v>
      </c>
      <c r="B87" s="40" t="s">
        <v>1998</v>
      </c>
      <c r="C87" s="358">
        <f>VLOOKUP($A87,[0]!Data,254,FALSE)</f>
        <v>13423</v>
      </c>
      <c r="D87" s="358">
        <f>VLOOKUP($A87,[0]!Data,255,FALSE)</f>
        <v>6</v>
      </c>
      <c r="E87" s="358">
        <f>VLOOKUP($A87,[0]!Data,256,FALSE)</f>
        <v>13429</v>
      </c>
      <c r="F87" s="248">
        <f>E87/'Table 1'!D87</f>
        <v>1.2528220916130237</v>
      </c>
      <c r="G87" s="358">
        <f>VLOOKUP($A87,[0]!Data,258,FALSE)</f>
        <v>84447</v>
      </c>
      <c r="H87" s="479">
        <f>G87/'Table 1'!D87</f>
        <v>7.8782535684298907</v>
      </c>
      <c r="I87" s="358">
        <f>VLOOKUP($A87,[0]!Data,299,FALSE)</f>
        <v>5901</v>
      </c>
      <c r="J87" s="479">
        <f>I87/'Table 1'!D87</f>
        <v>0.55051777218024067</v>
      </c>
      <c r="K87" s="358">
        <f>VLOOKUP($A87,[0]!Data,300,FALSE)</f>
        <v>3902</v>
      </c>
      <c r="L87" s="358">
        <f>VLOOKUP($A87,[0]!Data,301,FALSE)</f>
        <v>651</v>
      </c>
      <c r="M87" s="358">
        <f>VLOOKUP($A87,[0]!Data,305,FALSE)</f>
        <v>4800</v>
      </c>
      <c r="N87" s="360">
        <f>VLOOKUP($A87,[0]!Data,306,FALSE)</f>
        <v>3698</v>
      </c>
    </row>
    <row r="88" spans="1:17" x14ac:dyDescent="0.25">
      <c r="A88" s="55" t="s">
        <v>1409</v>
      </c>
      <c r="B88" s="40" t="s">
        <v>1999</v>
      </c>
      <c r="C88" s="358">
        <f>VLOOKUP($A88,[0]!Data,254,FALSE)</f>
        <v>37161</v>
      </c>
      <c r="D88" s="358">
        <f>VLOOKUP($A88,[0]!Data,255,FALSE)</f>
        <v>9415</v>
      </c>
      <c r="E88" s="358">
        <f>VLOOKUP($A88,[0]!Data,256,FALSE)</f>
        <v>46576</v>
      </c>
      <c r="F88" s="248">
        <f>E88/'Table 1'!D88</f>
        <v>1.1921777413740144</v>
      </c>
      <c r="G88" s="358">
        <f>VLOOKUP($A88,[0]!Data,258,FALSE)</f>
        <v>213952</v>
      </c>
      <c r="H88" s="479">
        <f>G88/'Table 1'!D88</f>
        <v>5.4764001228627013</v>
      </c>
      <c r="I88" s="358">
        <f>VLOOKUP($A88,[0]!Data,299,FALSE)</f>
        <v>20616</v>
      </c>
      <c r="J88" s="479">
        <f>I88/'Table 1'!D88</f>
        <v>0.52769530050168933</v>
      </c>
      <c r="K88" s="358">
        <f>VLOOKUP($A88,[0]!Data,300,FALSE)</f>
        <v>6479</v>
      </c>
      <c r="L88" s="358">
        <f>VLOOKUP($A88,[0]!Data,301,FALSE)</f>
        <v>213</v>
      </c>
      <c r="M88" s="358">
        <f>VLOOKUP($A88,[0]!Data,305,FALSE)</f>
        <v>70</v>
      </c>
      <c r="N88" s="360">
        <f>VLOOKUP($A88,[0]!Data,306,FALSE)</f>
        <v>122</v>
      </c>
    </row>
    <row r="89" spans="1:17" x14ac:dyDescent="0.25">
      <c r="A89" s="55" t="s">
        <v>1245</v>
      </c>
      <c r="B89" s="40" t="s">
        <v>2000</v>
      </c>
      <c r="C89" s="358">
        <f>VLOOKUP($A89,[0]!Data,254,FALSE)</f>
        <v>2599</v>
      </c>
      <c r="D89" s="358">
        <f>VLOOKUP($A89,[0]!Data,255,FALSE)</f>
        <v>377</v>
      </c>
      <c r="E89" s="358">
        <f>VLOOKUP($A89,[0]!Data,256,FALSE)</f>
        <v>2976</v>
      </c>
      <c r="F89" s="248">
        <f>E89/'Table 1'!D89</f>
        <v>0.56891607723188686</v>
      </c>
      <c r="G89" s="358">
        <f>VLOOKUP($A89,[0]!Data,258,FALSE)</f>
        <v>46149</v>
      </c>
      <c r="H89" s="479">
        <f>G89/'Table 1'!D89</f>
        <v>8.8222137258650353</v>
      </c>
      <c r="I89" s="358">
        <f>VLOOKUP($A89,[0]!Data,299,FALSE)</f>
        <v>2523</v>
      </c>
      <c r="J89" s="479">
        <f>I89/'Table 1'!D89</f>
        <v>0.48231695660485568</v>
      </c>
      <c r="K89" s="358">
        <f>VLOOKUP($A89,[0]!Data,300,FALSE)</f>
        <v>1401</v>
      </c>
      <c r="L89" s="358">
        <f>VLOOKUP($A89,[0]!Data,301,FALSE)</f>
        <v>791</v>
      </c>
      <c r="M89" s="358">
        <f>VLOOKUP($A89,[0]!Data,305,FALSE)</f>
        <v>3446</v>
      </c>
      <c r="N89" s="360">
        <f>VLOOKUP($A89,[0]!Data,306,FALSE)</f>
        <v>4900</v>
      </c>
    </row>
    <row r="90" spans="1:17" x14ac:dyDescent="0.25">
      <c r="A90" s="55" t="s">
        <v>1613</v>
      </c>
      <c r="B90" s="40" t="s">
        <v>2001</v>
      </c>
      <c r="C90" s="358">
        <f>VLOOKUP($A90,[0]!Data,254,FALSE)</f>
        <v>7448</v>
      </c>
      <c r="D90" s="358">
        <f>VLOOKUP($A90,[0]!Data,255,FALSE)</f>
        <v>914</v>
      </c>
      <c r="E90" s="358">
        <f>VLOOKUP($A90,[0]!Data,256,FALSE)</f>
        <v>8362</v>
      </c>
      <c r="F90" s="248">
        <f>E90/'Table 1'!D90</f>
        <v>0.55373816303556056</v>
      </c>
      <c r="G90" s="358">
        <f>VLOOKUP($A90,[0]!Data,258,FALSE)</f>
        <v>25450</v>
      </c>
      <c r="H90" s="479">
        <f>G90/'Table 1'!D90</f>
        <v>1.685318853056089</v>
      </c>
      <c r="I90" s="358">
        <f>VLOOKUP($A90,[0]!Data,299,FALSE)</f>
        <v>18778</v>
      </c>
      <c r="J90" s="479">
        <f>I90/'Table 1'!D90</f>
        <v>1.2434938083570624</v>
      </c>
      <c r="K90" s="358">
        <f>VLOOKUP($A90,[0]!Data,300,FALSE)</f>
        <v>4173</v>
      </c>
      <c r="L90" s="358">
        <f>VLOOKUP($A90,[0]!Data,301,FALSE)</f>
        <v>602</v>
      </c>
      <c r="M90" s="358">
        <f>VLOOKUP($A90,[0]!Data,305,FALSE)</f>
        <v>27</v>
      </c>
      <c r="N90" s="360">
        <f>VLOOKUP($A90,[0]!Data,306,FALSE)</f>
        <v>18</v>
      </c>
    </row>
    <row r="91" spans="1:17" x14ac:dyDescent="0.25">
      <c r="A91" s="55" t="s">
        <v>1742</v>
      </c>
      <c r="B91" s="40" t="s">
        <v>2002</v>
      </c>
      <c r="C91" s="358">
        <f>VLOOKUP($A91,[0]!Data,254,FALSE)</f>
        <v>6137</v>
      </c>
      <c r="D91" s="358">
        <f>VLOOKUP($A91,[0]!Data,255,FALSE)</f>
        <v>1393</v>
      </c>
      <c r="E91" s="358">
        <f>VLOOKUP($A91,[0]!Data,256,FALSE)</f>
        <v>7530</v>
      </c>
      <c r="F91" s="248">
        <f>E91/'Table 1'!D91</f>
        <v>0.54739749927304449</v>
      </c>
      <c r="G91" s="358">
        <f>VLOOKUP($A91,[0]!Data,258,FALSE)</f>
        <v>86804</v>
      </c>
      <c r="H91" s="479">
        <f>G91/'Table 1'!D91</f>
        <v>6.3102646118057573</v>
      </c>
      <c r="I91" s="358">
        <f>VLOOKUP($A91,[0]!Data,299,FALSE)</f>
        <v>6045</v>
      </c>
      <c r="J91" s="479">
        <f>I91/'Table 1'!D91</f>
        <v>0.43944460599011342</v>
      </c>
      <c r="K91" s="358">
        <f>VLOOKUP($A91,[0]!Data,300,FALSE)</f>
        <v>1204</v>
      </c>
      <c r="L91" s="358">
        <f>VLOOKUP($A91,[0]!Data,301,FALSE)</f>
        <v>106</v>
      </c>
      <c r="M91" s="358">
        <f>VLOOKUP($A91,[0]!Data,305,FALSE)</f>
        <v>378</v>
      </c>
      <c r="N91" s="360">
        <f>VLOOKUP($A91,[0]!Data,306,FALSE)</f>
        <v>83</v>
      </c>
    </row>
    <row r="92" spans="1:17" x14ac:dyDescent="0.25">
      <c r="A92" s="55" t="s">
        <v>1178</v>
      </c>
      <c r="B92" s="40" t="s">
        <v>2003</v>
      </c>
      <c r="C92" s="358">
        <f>VLOOKUP($A92,[0]!Data,254,FALSE)</f>
        <v>12176</v>
      </c>
      <c r="D92" s="358">
        <f>VLOOKUP($A92,[0]!Data,255,FALSE)</f>
        <v>3243</v>
      </c>
      <c r="E92" s="358">
        <f>VLOOKUP($A92,[0]!Data,256,FALSE)</f>
        <v>15419</v>
      </c>
      <c r="F92" s="248">
        <f>E92/'Table 1'!D92</f>
        <v>1.6126974165882231</v>
      </c>
      <c r="G92" s="358">
        <f>VLOOKUP($A92,[0]!Data,258,FALSE)</f>
        <v>95564</v>
      </c>
      <c r="H92" s="479">
        <f>G92/'Table 1'!D92</f>
        <v>9.9951887877837038</v>
      </c>
      <c r="I92" s="358">
        <f>VLOOKUP($A92,[0]!Data,299,FALSE)</f>
        <v>18468</v>
      </c>
      <c r="J92" s="479">
        <f>I92/'Table 1'!D92</f>
        <v>1.9315971132726701</v>
      </c>
      <c r="K92" s="358">
        <f>VLOOKUP($A92,[0]!Data,300,FALSE)</f>
        <v>6656</v>
      </c>
      <c r="L92" s="358">
        <f>VLOOKUP($A92,[0]!Data,301,FALSE)</f>
        <v>1612</v>
      </c>
      <c r="M92" s="358">
        <f>VLOOKUP($A92,[0]!Data,305,FALSE)</f>
        <v>4778</v>
      </c>
      <c r="N92" s="369">
        <f>VLOOKUP($A92,[0]!Data,306,FALSE)</f>
        <v>2493</v>
      </c>
    </row>
    <row r="93" spans="1:17" ht="15.75" thickBot="1" x14ac:dyDescent="0.3">
      <c r="A93" s="648" t="s">
        <v>2068</v>
      </c>
      <c r="B93" s="649"/>
      <c r="C93" s="61">
        <f>SUM(C82:C92)</f>
        <v>234723</v>
      </c>
      <c r="D93" s="61">
        <f t="shared" ref="D93:N93" si="0">SUM(D82:D92)</f>
        <v>70869</v>
      </c>
      <c r="E93" s="61">
        <f t="shared" si="0"/>
        <v>305592</v>
      </c>
      <c r="F93" s="273">
        <f>AVERAGE(F82:F92)</f>
        <v>1.3663563658154141</v>
      </c>
      <c r="G93" s="61">
        <f t="shared" si="0"/>
        <v>1874623</v>
      </c>
      <c r="H93" s="484">
        <f>AVERAGE(H82:H92)</f>
        <v>6.4678476076601443</v>
      </c>
      <c r="I93" s="61">
        <f t="shared" si="0"/>
        <v>263616</v>
      </c>
      <c r="J93" s="484">
        <f>AVERAGE(J82:J92)</f>
        <v>1.0304255260664041</v>
      </c>
      <c r="K93" s="61">
        <f>SUM(K82:K92)</f>
        <v>62267</v>
      </c>
      <c r="L93" s="61">
        <f>SUM(L82:L92)</f>
        <v>7246</v>
      </c>
      <c r="M93" s="61">
        <f>SUM(M82:M92)</f>
        <v>17700</v>
      </c>
      <c r="N93" s="485">
        <f t="shared" si="0"/>
        <v>13657</v>
      </c>
    </row>
    <row r="94" spans="1:17" ht="17.25" thickTop="1" thickBot="1" x14ac:dyDescent="0.3">
      <c r="A94" s="142"/>
      <c r="B94" s="18"/>
      <c r="C94" s="67"/>
      <c r="D94" s="67"/>
      <c r="E94" s="421"/>
      <c r="F94" s="283"/>
      <c r="G94" s="76"/>
      <c r="H94" s="76"/>
      <c r="I94" s="76"/>
      <c r="J94" s="76"/>
      <c r="K94" s="76"/>
      <c r="L94" s="76"/>
      <c r="M94" s="421"/>
      <c r="N94" s="486"/>
    </row>
    <row r="95" spans="1:17" s="90" customFormat="1" ht="16.5" thickTop="1" thickBot="1" x14ac:dyDescent="0.3">
      <c r="A95" s="691" t="s">
        <v>2068</v>
      </c>
      <c r="B95" s="692"/>
      <c r="C95" s="365">
        <f>SUM(C93,C80,C66)</f>
        <v>4224183</v>
      </c>
      <c r="D95" s="365">
        <f>SUM(D93,D80,D66)</f>
        <v>1423269</v>
      </c>
      <c r="E95" s="365">
        <f>SUM(E93,E80,E66)</f>
        <v>5647452</v>
      </c>
      <c r="F95" s="401">
        <f>AVERAGE(F82:F92,F68:F79,F59:F65,F8:F57)</f>
        <v>0.61040707750697232</v>
      </c>
      <c r="G95" s="365">
        <f>SUM(G93,G80,G66)</f>
        <v>32621293</v>
      </c>
      <c r="H95" s="402">
        <f>AVERAGE(H82:H92,H68:H79,H59:H65,H8:H57)</f>
        <v>3.4181452194138027</v>
      </c>
      <c r="I95" s="365">
        <f>SUM(I93,I80,I66)</f>
        <v>6946172</v>
      </c>
      <c r="J95" s="402">
        <f>AVERAGE(J82:J92,J68:J79,J59:J65,J8:J57)</f>
        <v>0.62506986264043429</v>
      </c>
      <c r="K95" s="365">
        <f>SUM(K93,K80,K66)</f>
        <v>1982396</v>
      </c>
      <c r="L95" s="365">
        <f>SUM(L93,L80,L66)</f>
        <v>423842</v>
      </c>
      <c r="M95" s="365">
        <f>SUM(M93,M80,M66)</f>
        <v>485075</v>
      </c>
      <c r="N95" s="366">
        <f>SUM(N93,N80,N66)</f>
        <v>397617</v>
      </c>
      <c r="P95"/>
      <c r="Q95"/>
    </row>
    <row r="96" spans="1:17" s="280" customFormat="1" ht="15.75" thickTop="1" x14ac:dyDescent="0.25">
      <c r="B96" s="280" t="s">
        <v>2092</v>
      </c>
      <c r="C96" s="280" t="s">
        <v>1873</v>
      </c>
      <c r="D96" s="280" t="s">
        <v>1873</v>
      </c>
      <c r="E96" s="280" t="s">
        <v>1873</v>
      </c>
      <c r="F96" s="487" t="s">
        <v>2070</v>
      </c>
      <c r="G96" s="280" t="s">
        <v>1873</v>
      </c>
      <c r="H96" s="280" t="s">
        <v>2070</v>
      </c>
      <c r="I96" s="280" t="s">
        <v>1873</v>
      </c>
      <c r="J96" s="280" t="s">
        <v>2070</v>
      </c>
      <c r="K96" s="488" t="s">
        <v>1873</v>
      </c>
      <c r="L96" s="488" t="s">
        <v>1873</v>
      </c>
      <c r="M96" s="488" t="s">
        <v>1873</v>
      </c>
      <c r="N96" s="488" t="s">
        <v>1873</v>
      </c>
      <c r="P96"/>
      <c r="Q96"/>
    </row>
    <row r="98" spans="5:5" x14ac:dyDescent="0.25">
      <c r="E98" s="619"/>
    </row>
  </sheetData>
  <mergeCells count="7">
    <mergeCell ref="A95:B95"/>
    <mergeCell ref="B4:B6"/>
    <mergeCell ref="M4:N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96"/>
  <sheetViews>
    <sheetView workbookViewId="0">
      <selection activeCell="Q1" sqref="Q1"/>
    </sheetView>
  </sheetViews>
  <sheetFormatPr defaultColWidth="8.85546875" defaultRowHeight="15" x14ac:dyDescent="0.25"/>
  <cols>
    <col min="1" max="1" width="6.7109375" customWidth="1"/>
    <col min="2" max="2" width="21.140625" customWidth="1"/>
    <col min="3" max="3" width="9.85546875" customWidth="1"/>
    <col min="6" max="6" width="10.140625" customWidth="1"/>
    <col min="7" max="7" width="11.28515625" customWidth="1"/>
    <col min="8" max="8" width="10.140625" style="489" customWidth="1"/>
    <col min="9" max="10" width="10.42578125" customWidth="1"/>
    <col min="11" max="11" width="11.42578125" customWidth="1"/>
    <col min="12" max="12" width="11.7109375" customWidth="1"/>
    <col min="13" max="13" width="11.42578125" customWidth="1"/>
    <col min="14" max="14" width="14.140625" customWidth="1"/>
    <col min="15" max="15" width="13.85546875" customWidth="1"/>
    <col min="16" max="16" width="9.7109375" customWidth="1"/>
    <col min="17" max="17" width="10.85546875" customWidth="1"/>
  </cols>
  <sheetData>
    <row r="1" spans="1:17" x14ac:dyDescent="0.25">
      <c r="A1" s="16"/>
      <c r="B1" s="16"/>
      <c r="C1" s="16"/>
      <c r="D1" s="16"/>
      <c r="E1" s="16"/>
      <c r="F1" s="16"/>
      <c r="G1" s="16"/>
      <c r="H1" s="76"/>
      <c r="I1" s="16"/>
      <c r="J1" s="16"/>
      <c r="K1" s="16"/>
      <c r="L1" s="16"/>
      <c r="M1" s="16"/>
      <c r="N1" s="16"/>
      <c r="O1" s="462"/>
      <c r="P1" s="122"/>
      <c r="Q1" s="15" t="s">
        <v>2271</v>
      </c>
    </row>
    <row r="2" spans="1:17" ht="15.75" x14ac:dyDescent="0.25">
      <c r="A2" s="207" t="s">
        <v>2093</v>
      </c>
      <c r="B2" s="371"/>
      <c r="C2" s="371"/>
      <c r="D2" s="371"/>
      <c r="E2" s="16"/>
      <c r="F2" s="16"/>
      <c r="G2" s="16"/>
      <c r="H2" s="406"/>
      <c r="I2" s="371"/>
      <c r="J2" s="371"/>
      <c r="K2" s="371"/>
      <c r="L2" s="371"/>
      <c r="M2" s="371"/>
      <c r="N2" s="371"/>
      <c r="O2" s="463"/>
      <c r="P2" s="491"/>
      <c r="Q2" s="22" t="s">
        <v>2004</v>
      </c>
    </row>
    <row r="3" spans="1:17" ht="15.75" thickBot="1" x14ac:dyDescent="0.3">
      <c r="A3" s="371"/>
      <c r="B3" s="371"/>
      <c r="C3" s="371"/>
      <c r="D3" s="371"/>
      <c r="E3" s="371"/>
      <c r="F3" s="371"/>
      <c r="G3" s="371"/>
      <c r="H3" s="406"/>
      <c r="I3" s="371"/>
      <c r="J3" s="371"/>
      <c r="K3" s="371"/>
      <c r="L3" s="371"/>
      <c r="M3" s="371"/>
      <c r="N3" s="371"/>
      <c r="O3" s="463"/>
      <c r="P3" s="371"/>
      <c r="Q3" s="371"/>
    </row>
    <row r="4" spans="1:17" ht="15.75" thickTop="1" x14ac:dyDescent="0.25">
      <c r="A4" s="96"/>
      <c r="B4" s="638"/>
      <c r="C4" s="635" t="s">
        <v>2094</v>
      </c>
      <c r="D4" s="635"/>
      <c r="E4" s="635"/>
      <c r="F4" s="635"/>
      <c r="G4" s="635"/>
      <c r="H4" s="694"/>
      <c r="I4" s="635" t="s">
        <v>2095</v>
      </c>
      <c r="J4" s="635"/>
      <c r="K4" s="635"/>
      <c r="L4" s="635"/>
      <c r="M4" s="635"/>
      <c r="N4" s="694"/>
      <c r="O4" s="492"/>
      <c r="P4" s="695"/>
      <c r="Q4" s="696"/>
    </row>
    <row r="5" spans="1:17" x14ac:dyDescent="0.25">
      <c r="A5" s="99"/>
      <c r="B5" s="683"/>
      <c r="C5" s="493"/>
      <c r="D5" s="494" t="s">
        <v>2096</v>
      </c>
      <c r="E5" s="495"/>
      <c r="F5" s="496" t="s">
        <v>2082</v>
      </c>
      <c r="G5" s="496" t="s">
        <v>2083</v>
      </c>
      <c r="H5" s="408"/>
      <c r="I5" s="497"/>
      <c r="J5" s="494" t="s">
        <v>2096</v>
      </c>
      <c r="K5" s="498"/>
      <c r="L5" s="496" t="s">
        <v>2082</v>
      </c>
      <c r="M5" s="496" t="s">
        <v>2083</v>
      </c>
      <c r="N5" s="496"/>
      <c r="O5" s="499" t="s">
        <v>2097</v>
      </c>
      <c r="P5" s="697" t="s">
        <v>2098</v>
      </c>
      <c r="Q5" s="698"/>
    </row>
    <row r="6" spans="1:17" ht="15.75" thickBot="1" x14ac:dyDescent="0.3">
      <c r="A6" s="103"/>
      <c r="B6" s="684"/>
      <c r="C6" s="477" t="s">
        <v>2023</v>
      </c>
      <c r="D6" s="477" t="s">
        <v>2023</v>
      </c>
      <c r="E6" s="500" t="s">
        <v>2099</v>
      </c>
      <c r="F6" s="500" t="s">
        <v>2087</v>
      </c>
      <c r="G6" s="500" t="s">
        <v>2088</v>
      </c>
      <c r="H6" s="415" t="s">
        <v>1873</v>
      </c>
      <c r="I6" s="477" t="s">
        <v>2023</v>
      </c>
      <c r="J6" s="477" t="s">
        <v>2023</v>
      </c>
      <c r="K6" s="500" t="s">
        <v>2099</v>
      </c>
      <c r="L6" s="500" t="s">
        <v>2087</v>
      </c>
      <c r="M6" s="500" t="s">
        <v>2088</v>
      </c>
      <c r="N6" s="500" t="s">
        <v>1873</v>
      </c>
      <c r="O6" s="478" t="s">
        <v>2045</v>
      </c>
      <c r="P6" s="31" t="s">
        <v>2100</v>
      </c>
      <c r="Q6" s="501" t="s">
        <v>2097</v>
      </c>
    </row>
    <row r="7" spans="1:17" ht="16.5" thickTop="1" thickBot="1" x14ac:dyDescent="0.3">
      <c r="A7" s="34"/>
      <c r="B7" s="49" t="s">
        <v>1863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9"/>
    </row>
    <row r="8" spans="1:17" ht="15.75" thickTop="1" x14ac:dyDescent="0.25">
      <c r="A8" s="40" t="s">
        <v>666</v>
      </c>
      <c r="B8" s="40" t="s">
        <v>1927</v>
      </c>
      <c r="C8" s="358">
        <f>VLOOKUP($A8,[0]!Data,266,FALSE)</f>
        <v>704</v>
      </c>
      <c r="D8" s="358">
        <f>VLOOKUP($A8,[0]!Data,267,FALSE)</f>
        <v>78</v>
      </c>
      <c r="E8" s="358">
        <f>VLOOKUP($A8,[0]!Data,268,FALSE)</f>
        <v>895</v>
      </c>
      <c r="F8" s="358">
        <f>VLOOKUP($A8,[0]!Data,289,FALSE)</f>
        <v>237</v>
      </c>
      <c r="G8" s="358">
        <f>VLOOKUP($A8,[0]!Data,291,FALSE)</f>
        <v>124</v>
      </c>
      <c r="H8" s="358">
        <f>VLOOKUP($A8,[0]!Data,269,FALSE)</f>
        <v>1677</v>
      </c>
      <c r="I8" s="358">
        <f>VLOOKUP($A8,[0]!Data,278,FALSE)</f>
        <v>7661</v>
      </c>
      <c r="J8" s="358">
        <f>VLOOKUP($A8,[0]!Data,279,FALSE)</f>
        <v>1083</v>
      </c>
      <c r="K8" s="358">
        <f>VLOOKUP($A8,[0]!Data,280,FALSE)</f>
        <v>34783</v>
      </c>
      <c r="L8" s="358">
        <f>VLOOKUP($A8,[0]!Data,290,FALSE)</f>
        <v>1251</v>
      </c>
      <c r="M8" s="358">
        <f>VLOOKUP($A8,[0]!Data,292,FALSE)</f>
        <v>702</v>
      </c>
      <c r="N8" s="358">
        <f>VLOOKUP($A8,[0]!Data,281,FALSE)</f>
        <v>43527</v>
      </c>
      <c r="O8" s="502">
        <f>N8/'Table 1'!D8</f>
        <v>0.27366177524614282</v>
      </c>
      <c r="P8" s="358">
        <f>VLOOKUP($A8,[0]!Data,303,FALSE)</f>
        <v>262</v>
      </c>
      <c r="Q8" s="368">
        <f>VLOOKUP($A8,[0]!Data,304,FALSE)</f>
        <v>2905</v>
      </c>
    </row>
    <row r="9" spans="1:17" x14ac:dyDescent="0.25">
      <c r="A9" s="40" t="s">
        <v>711</v>
      </c>
      <c r="B9" s="40" t="s">
        <v>1928</v>
      </c>
      <c r="C9" s="358">
        <f>VLOOKUP($A9,[0]!Data,266,FALSE)</f>
        <v>113</v>
      </c>
      <c r="D9" s="358">
        <f>VLOOKUP($A9,[0]!Data,267,FALSE)</f>
        <v>29</v>
      </c>
      <c r="E9" s="358">
        <f>VLOOKUP($A9,[0]!Data,268,FALSE)</f>
        <v>368</v>
      </c>
      <c r="F9" s="358">
        <f>VLOOKUP($A9,[0]!Data,289,FALSE)</f>
        <v>0</v>
      </c>
      <c r="G9" s="358">
        <f>VLOOKUP($A9,[0]!Data,291,FALSE)</f>
        <v>0</v>
      </c>
      <c r="H9" s="358">
        <f>VLOOKUP($A9,[0]!Data,269,FALSE)</f>
        <v>510</v>
      </c>
      <c r="I9" s="358">
        <f>VLOOKUP($A9,[0]!Data,278,FALSE)</f>
        <v>1935</v>
      </c>
      <c r="J9" s="358">
        <f>VLOOKUP($A9,[0]!Data,279,FALSE)</f>
        <v>1101</v>
      </c>
      <c r="K9" s="358">
        <f>VLOOKUP($A9,[0]!Data,280,FALSE)</f>
        <v>7423</v>
      </c>
      <c r="L9" s="358">
        <f>VLOOKUP($A9,[0]!Data,290,FALSE)</f>
        <v>0</v>
      </c>
      <c r="M9" s="358">
        <f>VLOOKUP($A9,[0]!Data,292,FALSE)</f>
        <v>0</v>
      </c>
      <c r="N9" s="358">
        <f>VLOOKUP($A9,[0]!Data,281,FALSE)</f>
        <v>10459</v>
      </c>
      <c r="O9" s="490">
        <f>N9/'Table 1'!D9</f>
        <v>0.27319506843590013</v>
      </c>
      <c r="P9" s="358">
        <f>VLOOKUP($A9,[0]!Data,303,FALSE)</f>
        <v>0</v>
      </c>
      <c r="Q9" s="360">
        <f>VLOOKUP($A9,[0]!Data,304,FALSE)</f>
        <v>0</v>
      </c>
    </row>
    <row r="10" spans="1:17" x14ac:dyDescent="0.25">
      <c r="A10" s="40" t="s">
        <v>775</v>
      </c>
      <c r="B10" s="40" t="s">
        <v>1929</v>
      </c>
      <c r="C10" s="358">
        <f>VLOOKUP($A10,[0]!Data,266,FALSE)</f>
        <v>6</v>
      </c>
      <c r="D10" s="358">
        <f>VLOOKUP($A10,[0]!Data,267,FALSE)</f>
        <v>0</v>
      </c>
      <c r="E10" s="358">
        <f>VLOOKUP($A10,[0]!Data,268,FALSE)</f>
        <v>302</v>
      </c>
      <c r="F10" s="358">
        <f>VLOOKUP($A10,[0]!Data,289,FALSE)</f>
        <v>0</v>
      </c>
      <c r="G10" s="358">
        <f>VLOOKUP($A10,[0]!Data,291,FALSE)</f>
        <v>0</v>
      </c>
      <c r="H10" s="358">
        <f>VLOOKUP($A10,[0]!Data,269,FALSE)</f>
        <v>308</v>
      </c>
      <c r="I10" s="358">
        <f>VLOOKUP($A10,[0]!Data,278,FALSE)</f>
        <v>211</v>
      </c>
      <c r="J10" s="358">
        <f>VLOOKUP($A10,[0]!Data,279,FALSE)</f>
        <v>0</v>
      </c>
      <c r="K10" s="358">
        <f>VLOOKUP($A10,[0]!Data,280,FALSE)</f>
        <v>6007</v>
      </c>
      <c r="L10" s="358">
        <f>VLOOKUP($A10,[0]!Data,290,FALSE)</f>
        <v>0</v>
      </c>
      <c r="M10" s="358">
        <f>VLOOKUP($A10,[0]!Data,292,FALSE)</f>
        <v>0</v>
      </c>
      <c r="N10" s="358">
        <f>VLOOKUP($A10,[0]!Data,281,FALSE)</f>
        <v>6218</v>
      </c>
      <c r="O10" s="490">
        <f>N10/'Table 1'!D10</f>
        <v>0.17936365996480802</v>
      </c>
      <c r="P10" s="358">
        <f>VLOOKUP($A10,[0]!Data,303,FALSE)</f>
        <v>138</v>
      </c>
      <c r="Q10" s="360">
        <f>VLOOKUP($A10,[0]!Data,304,FALSE)</f>
        <v>1579</v>
      </c>
    </row>
    <row r="11" spans="1:17" x14ac:dyDescent="0.25">
      <c r="A11" s="40" t="s">
        <v>804</v>
      </c>
      <c r="B11" s="40" t="s">
        <v>1930</v>
      </c>
      <c r="C11" s="358">
        <f>VLOOKUP($A11,[0]!Data,266,FALSE)</f>
        <v>1172</v>
      </c>
      <c r="D11" s="358">
        <f>VLOOKUP($A11,[0]!Data,267,FALSE)</f>
        <v>0</v>
      </c>
      <c r="E11" s="358">
        <f>VLOOKUP($A11,[0]!Data,268,FALSE)</f>
        <v>236</v>
      </c>
      <c r="F11" s="358">
        <f>VLOOKUP($A11,[0]!Data,289,FALSE)</f>
        <v>0</v>
      </c>
      <c r="G11" s="358">
        <f>VLOOKUP($A11,[0]!Data,291,FALSE)</f>
        <v>20</v>
      </c>
      <c r="H11" s="358">
        <f>VLOOKUP($A11,[0]!Data,269,FALSE)</f>
        <v>1408</v>
      </c>
      <c r="I11" s="358">
        <f>VLOOKUP($A11,[0]!Data,278,FALSE)</f>
        <v>19688</v>
      </c>
      <c r="J11" s="358">
        <f>VLOOKUP($A11,[0]!Data,279,FALSE)</f>
        <v>0</v>
      </c>
      <c r="K11" s="358">
        <f>VLOOKUP($A11,[0]!Data,280,FALSE)</f>
        <v>4935</v>
      </c>
      <c r="L11" s="358">
        <f>VLOOKUP($A11,[0]!Data,290,FALSE)</f>
        <v>0</v>
      </c>
      <c r="M11" s="358">
        <f>VLOOKUP($A11,[0]!Data,292,FALSE)</f>
        <v>137</v>
      </c>
      <c r="N11" s="358">
        <f>VLOOKUP($A11,[0]!Data,281,FALSE)</f>
        <v>24623</v>
      </c>
      <c r="O11" s="490">
        <f>N11/'Table 1'!D11</f>
        <v>0.19274363992172211</v>
      </c>
      <c r="P11" s="358">
        <f>VLOOKUP($A11,[0]!Data,303,FALSE)</f>
        <v>0</v>
      </c>
      <c r="Q11" s="360">
        <f>VLOOKUP($A11,[0]!Data,304,FALSE)</f>
        <v>0</v>
      </c>
    </row>
    <row r="12" spans="1:17" x14ac:dyDescent="0.25">
      <c r="A12" s="40" t="s">
        <v>818</v>
      </c>
      <c r="B12" s="40" t="s">
        <v>1931</v>
      </c>
      <c r="C12" s="358">
        <f>VLOOKUP($A12,[0]!Data,266,FALSE)</f>
        <v>513</v>
      </c>
      <c r="D12" s="358">
        <f>VLOOKUP($A12,[0]!Data,267,FALSE)</f>
        <v>53</v>
      </c>
      <c r="E12" s="358">
        <f>VLOOKUP($A12,[0]!Data,268,FALSE)</f>
        <v>4435</v>
      </c>
      <c r="F12" s="358">
        <f>VLOOKUP($A12,[0]!Data,289,FALSE)</f>
        <v>3</v>
      </c>
      <c r="G12" s="358">
        <f>VLOOKUP($A12,[0]!Data,291,FALSE)</f>
        <v>146</v>
      </c>
      <c r="H12" s="358">
        <f>VLOOKUP($A12,[0]!Data,269,FALSE)</f>
        <v>5001</v>
      </c>
      <c r="I12" s="358">
        <f>VLOOKUP($A12,[0]!Data,278,FALSE)</f>
        <v>15648</v>
      </c>
      <c r="J12" s="358">
        <f>VLOOKUP($A12,[0]!Data,279,FALSE)</f>
        <v>373</v>
      </c>
      <c r="K12" s="358">
        <f>VLOOKUP($A12,[0]!Data,280,FALSE)</f>
        <v>105791</v>
      </c>
      <c r="L12" s="358">
        <f>VLOOKUP($A12,[0]!Data,290,FALSE)</f>
        <v>120</v>
      </c>
      <c r="M12" s="358">
        <f>VLOOKUP($A12,[0]!Data,292,FALSE)</f>
        <v>230</v>
      </c>
      <c r="N12" s="358">
        <f>VLOOKUP($A12,[0]!Data,281,FALSE)</f>
        <v>121812</v>
      </c>
      <c r="O12" s="490">
        <f>N12/'Table 1'!D12</f>
        <v>0.47139772296308907</v>
      </c>
      <c r="P12" s="358">
        <f>VLOOKUP($A12,[0]!Data,303,FALSE)</f>
        <v>1055</v>
      </c>
      <c r="Q12" s="360">
        <f>VLOOKUP($A12,[0]!Data,304,FALSE)</f>
        <v>61801</v>
      </c>
    </row>
    <row r="13" spans="1:17" x14ac:dyDescent="0.25">
      <c r="A13" s="40" t="s">
        <v>831</v>
      </c>
      <c r="B13" s="40" t="s">
        <v>1932</v>
      </c>
      <c r="C13" s="358">
        <f>VLOOKUP($A13,[0]!Data,266,FALSE)</f>
        <v>231</v>
      </c>
      <c r="D13" s="358">
        <f>VLOOKUP($A13,[0]!Data,267,FALSE)</f>
        <v>159</v>
      </c>
      <c r="E13" s="358">
        <f>VLOOKUP($A13,[0]!Data,268,FALSE)</f>
        <v>849</v>
      </c>
      <c r="F13" s="358">
        <f>VLOOKUP($A13,[0]!Data,289,FALSE)</f>
        <v>25</v>
      </c>
      <c r="G13" s="358">
        <f>VLOOKUP($A13,[0]!Data,291,FALSE)</f>
        <v>252</v>
      </c>
      <c r="H13" s="358">
        <f>VLOOKUP($A13,[0]!Data,269,FALSE)</f>
        <v>1239</v>
      </c>
      <c r="I13" s="358">
        <f>VLOOKUP($A13,[0]!Data,278,FALSE)</f>
        <v>3959</v>
      </c>
      <c r="J13" s="358">
        <f>VLOOKUP($A13,[0]!Data,279,FALSE)</f>
        <v>4305</v>
      </c>
      <c r="K13" s="358">
        <f>VLOOKUP($A13,[0]!Data,280,FALSE)</f>
        <v>19798</v>
      </c>
      <c r="L13" s="358">
        <f>VLOOKUP($A13,[0]!Data,290,FALSE)</f>
        <v>438</v>
      </c>
      <c r="M13" s="358">
        <f>VLOOKUP($A13,[0]!Data,292,FALSE)</f>
        <v>431</v>
      </c>
      <c r="N13" s="358">
        <f>VLOOKUP($A13,[0]!Data,281,FALSE)</f>
        <v>28062</v>
      </c>
      <c r="O13" s="490">
        <f>N13/'Table 1'!D13</f>
        <v>0.31267897534179417</v>
      </c>
      <c r="P13" s="358">
        <f>VLOOKUP($A13,[0]!Data,303,FALSE)</f>
        <v>94</v>
      </c>
      <c r="Q13" s="360">
        <f>VLOOKUP($A13,[0]!Data,304,FALSE)</f>
        <v>651</v>
      </c>
    </row>
    <row r="14" spans="1:17" x14ac:dyDescent="0.25">
      <c r="A14" s="40" t="s">
        <v>843</v>
      </c>
      <c r="B14" s="40" t="s">
        <v>1933</v>
      </c>
      <c r="C14" s="358">
        <f>VLOOKUP($A14,[0]!Data,266,FALSE)</f>
        <v>679</v>
      </c>
      <c r="D14" s="358">
        <f>VLOOKUP($A14,[0]!Data,267,FALSE)</f>
        <v>441</v>
      </c>
      <c r="E14" s="358">
        <f>VLOOKUP($A14,[0]!Data,268,FALSE)</f>
        <v>1960</v>
      </c>
      <c r="F14" s="358">
        <f>VLOOKUP($A14,[0]!Data,289,FALSE)</f>
        <v>15</v>
      </c>
      <c r="G14" s="358">
        <f>VLOOKUP($A14,[0]!Data,291,FALSE)</f>
        <v>289</v>
      </c>
      <c r="H14" s="358">
        <f>VLOOKUP($A14,[0]!Data,269,FALSE)</f>
        <v>3080</v>
      </c>
      <c r="I14" s="358">
        <f>VLOOKUP($A14,[0]!Data,278,FALSE)</f>
        <v>7634</v>
      </c>
      <c r="J14" s="358">
        <f>VLOOKUP($A14,[0]!Data,279,FALSE)</f>
        <v>7525</v>
      </c>
      <c r="K14" s="358">
        <f>VLOOKUP($A14,[0]!Data,280,FALSE)</f>
        <v>56734</v>
      </c>
      <c r="L14" s="358">
        <f>VLOOKUP($A14,[0]!Data,290,FALSE)</f>
        <v>56</v>
      </c>
      <c r="M14" s="358">
        <f>VLOOKUP($A14,[0]!Data,292,FALSE)</f>
        <v>1950</v>
      </c>
      <c r="N14" s="358">
        <f>VLOOKUP($A14,[0]!Data,281,FALSE)</f>
        <v>71893</v>
      </c>
      <c r="O14" s="490">
        <f>N14/'Table 1'!D14</f>
        <v>0.35827731071497987</v>
      </c>
      <c r="P14" s="358">
        <f>VLOOKUP($A14,[0]!Data,303,FALSE)</f>
        <v>445</v>
      </c>
      <c r="Q14" s="360">
        <f>VLOOKUP($A14,[0]!Data,304,FALSE)</f>
        <v>15442</v>
      </c>
    </row>
    <row r="15" spans="1:17" x14ac:dyDescent="0.25">
      <c r="A15" s="40" t="s">
        <v>855</v>
      </c>
      <c r="B15" s="40" t="s">
        <v>1934</v>
      </c>
      <c r="C15" s="358">
        <f>VLOOKUP($A15,[0]!Data,266,FALSE)</f>
        <v>179</v>
      </c>
      <c r="D15" s="358">
        <f>VLOOKUP($A15,[0]!Data,267,FALSE)</f>
        <v>30</v>
      </c>
      <c r="E15" s="358">
        <f>VLOOKUP($A15,[0]!Data,268,FALSE)</f>
        <v>345</v>
      </c>
      <c r="F15" s="358">
        <f>VLOOKUP($A15,[0]!Data,289,FALSE)</f>
        <v>3</v>
      </c>
      <c r="G15" s="358">
        <f>VLOOKUP($A15,[0]!Data,291,FALSE)</f>
        <v>56</v>
      </c>
      <c r="H15" s="358">
        <f>VLOOKUP($A15,[0]!Data,269,FALSE)</f>
        <v>554</v>
      </c>
      <c r="I15" s="358">
        <f>VLOOKUP($A15,[0]!Data,278,FALSE)</f>
        <v>1207</v>
      </c>
      <c r="J15" s="358">
        <f>VLOOKUP($A15,[0]!Data,279,FALSE)</f>
        <v>242</v>
      </c>
      <c r="K15" s="358">
        <f>VLOOKUP($A15,[0]!Data,280,FALSE)</f>
        <v>9990</v>
      </c>
      <c r="L15" s="358">
        <f>VLOOKUP($A15,[0]!Data,290,FALSE)</f>
        <v>17</v>
      </c>
      <c r="M15" s="358">
        <f>VLOOKUP($A15,[0]!Data,292,FALSE)</f>
        <v>176</v>
      </c>
      <c r="N15" s="358">
        <f>VLOOKUP($A15,[0]!Data,281,FALSE)</f>
        <v>11439</v>
      </c>
      <c r="O15" s="490">
        <f>N15/'Table 1'!D15</f>
        <v>0.13819890784323202</v>
      </c>
      <c r="P15" s="358">
        <f>VLOOKUP($A15,[0]!Data,303,FALSE)</f>
        <v>871</v>
      </c>
      <c r="Q15" s="360">
        <f>VLOOKUP($A15,[0]!Data,304,FALSE)</f>
        <v>14966</v>
      </c>
    </row>
    <row r="16" spans="1:17" x14ac:dyDescent="0.25">
      <c r="A16" s="40" t="s">
        <v>868</v>
      </c>
      <c r="B16" s="40" t="s">
        <v>1935</v>
      </c>
      <c r="C16" s="358">
        <f>VLOOKUP($A16,[0]!Data,266,FALSE)</f>
        <v>128</v>
      </c>
      <c r="D16" s="358">
        <f>VLOOKUP($A16,[0]!Data,267,FALSE)</f>
        <v>47</v>
      </c>
      <c r="E16" s="358">
        <f>VLOOKUP($A16,[0]!Data,268,FALSE)</f>
        <v>123</v>
      </c>
      <c r="F16" s="358">
        <f>VLOOKUP($A16,[0]!Data,289,FALSE)</f>
        <v>7</v>
      </c>
      <c r="G16" s="358">
        <f>VLOOKUP($A16,[0]!Data,291,FALSE)</f>
        <v>14</v>
      </c>
      <c r="H16" s="358">
        <f>VLOOKUP($A16,[0]!Data,269,FALSE)</f>
        <v>298</v>
      </c>
      <c r="I16" s="358">
        <f>VLOOKUP($A16,[0]!Data,278,FALSE)</f>
        <v>1262</v>
      </c>
      <c r="J16" s="358">
        <f>VLOOKUP($A16,[0]!Data,279,FALSE)</f>
        <v>411</v>
      </c>
      <c r="K16" s="358">
        <f>VLOOKUP($A16,[0]!Data,280,FALSE)</f>
        <v>3215</v>
      </c>
      <c r="L16" s="358">
        <f>VLOOKUP($A16,[0]!Data,290,FALSE)</f>
        <v>53</v>
      </c>
      <c r="M16" s="358">
        <f>VLOOKUP($A16,[0]!Data,292,FALSE)</f>
        <v>106</v>
      </c>
      <c r="N16" s="358">
        <f>VLOOKUP($A16,[0]!Data,281,FALSE)</f>
        <v>4888</v>
      </c>
      <c r="O16" s="490">
        <f>N16/'Table 1'!D16</f>
        <v>0.20634049558866985</v>
      </c>
      <c r="P16" s="358">
        <f>VLOOKUP($A16,[0]!Data,303,FALSE)</f>
        <v>103</v>
      </c>
      <c r="Q16" s="360">
        <f>VLOOKUP($A16,[0]!Data,304,FALSE)</f>
        <v>690</v>
      </c>
    </row>
    <row r="17" spans="1:17" x14ac:dyDescent="0.25">
      <c r="A17" s="40" t="s">
        <v>881</v>
      </c>
      <c r="B17" s="40" t="s">
        <v>1936</v>
      </c>
      <c r="C17" s="358">
        <f>VLOOKUP($A17,[0]!Data,266,FALSE)</f>
        <v>496</v>
      </c>
      <c r="D17" s="358">
        <f>VLOOKUP($A17,[0]!Data,267,FALSE)</f>
        <v>41</v>
      </c>
      <c r="E17" s="358">
        <f>VLOOKUP($A17,[0]!Data,268,FALSE)</f>
        <v>1117</v>
      </c>
      <c r="F17" s="358">
        <f>VLOOKUP($A17,[0]!Data,289,FALSE)</f>
        <v>9</v>
      </c>
      <c r="G17" s="358">
        <f>VLOOKUP($A17,[0]!Data,291,FALSE)</f>
        <v>219</v>
      </c>
      <c r="H17" s="358">
        <f>VLOOKUP($A17,[0]!Data,269,FALSE)</f>
        <v>1654</v>
      </c>
      <c r="I17" s="358">
        <f>VLOOKUP($A17,[0]!Data,278,FALSE)</f>
        <v>3680</v>
      </c>
      <c r="J17" s="358">
        <f>VLOOKUP($A17,[0]!Data,279,FALSE)</f>
        <v>320</v>
      </c>
      <c r="K17" s="358">
        <f>VLOOKUP($A17,[0]!Data,280,FALSE)</f>
        <v>20338</v>
      </c>
      <c r="L17" s="358">
        <f>VLOOKUP($A17,[0]!Data,290,FALSE)</f>
        <v>32</v>
      </c>
      <c r="M17" s="358">
        <f>VLOOKUP($A17,[0]!Data,292,FALSE)</f>
        <v>536</v>
      </c>
      <c r="N17" s="358">
        <f>VLOOKUP($A17,[0]!Data,281,FALSE)</f>
        <v>24338</v>
      </c>
      <c r="O17" s="490">
        <f>N17/'Table 1'!D17</f>
        <v>0.20961518586143935</v>
      </c>
      <c r="P17" s="358">
        <f>VLOOKUP($A17,[0]!Data,303,FALSE)</f>
        <v>431</v>
      </c>
      <c r="Q17" s="360">
        <f>VLOOKUP($A17,[0]!Data,304,FALSE)</f>
        <v>31665</v>
      </c>
    </row>
    <row r="18" spans="1:17" x14ac:dyDescent="0.25">
      <c r="A18" s="40" t="s">
        <v>932</v>
      </c>
      <c r="B18" s="40" t="s">
        <v>1937</v>
      </c>
      <c r="C18" s="358">
        <f>VLOOKUP($A18,[0]!Data,266,FALSE)</f>
        <v>269</v>
      </c>
      <c r="D18" s="358">
        <f>VLOOKUP($A18,[0]!Data,267,FALSE)</f>
        <v>19</v>
      </c>
      <c r="E18" s="358">
        <f>VLOOKUP($A18,[0]!Data,268,FALSE)</f>
        <v>594</v>
      </c>
      <c r="F18" s="358">
        <f>VLOOKUP($A18,[0]!Data,289,FALSE)</f>
        <v>1</v>
      </c>
      <c r="G18" s="358">
        <f>VLOOKUP($A18,[0]!Data,291,FALSE)</f>
        <v>38</v>
      </c>
      <c r="H18" s="358">
        <f>VLOOKUP($A18,[0]!Data,269,FALSE)</f>
        <v>882</v>
      </c>
      <c r="I18" s="358">
        <f>VLOOKUP($A18,[0]!Data,278,FALSE)</f>
        <v>2815</v>
      </c>
      <c r="J18" s="358">
        <f>VLOOKUP($A18,[0]!Data,279,FALSE)</f>
        <v>573</v>
      </c>
      <c r="K18" s="358">
        <f>VLOOKUP($A18,[0]!Data,280,FALSE)</f>
        <v>21875</v>
      </c>
      <c r="L18" s="358">
        <f>VLOOKUP($A18,[0]!Data,290,FALSE)</f>
        <v>4</v>
      </c>
      <c r="M18" s="358">
        <f>VLOOKUP($A18,[0]!Data,292,FALSE)</f>
        <v>255</v>
      </c>
      <c r="N18" s="358">
        <f>VLOOKUP($A18,[0]!Data,281,FALSE)</f>
        <v>25263</v>
      </c>
      <c r="O18" s="490">
        <f>N18/'Table 1'!D18</f>
        <v>0.34471795431596758</v>
      </c>
      <c r="P18" s="358">
        <f>VLOOKUP($A18,[0]!Data,303,FALSE)</f>
        <v>273</v>
      </c>
      <c r="Q18" s="360">
        <f>VLOOKUP($A18,[0]!Data,304,FALSE)</f>
        <v>3725</v>
      </c>
    </row>
    <row r="19" spans="1:17" x14ac:dyDescent="0.25">
      <c r="A19" s="40" t="s">
        <v>947</v>
      </c>
      <c r="B19" s="40" t="s">
        <v>1938</v>
      </c>
      <c r="C19" s="358">
        <f>VLOOKUP($A19,[0]!Data,266,FALSE)</f>
        <v>131</v>
      </c>
      <c r="D19" s="358">
        <f>VLOOKUP($A19,[0]!Data,267,FALSE)</f>
        <v>10</v>
      </c>
      <c r="E19" s="358">
        <f>VLOOKUP($A19,[0]!Data,268,FALSE)</f>
        <v>393</v>
      </c>
      <c r="F19" s="358">
        <f>VLOOKUP($A19,[0]!Data,289,FALSE)</f>
        <v>32</v>
      </c>
      <c r="G19" s="358">
        <f>VLOOKUP($A19,[0]!Data,291,FALSE)</f>
        <v>2</v>
      </c>
      <c r="H19" s="358">
        <f>VLOOKUP($A19,[0]!Data,269,FALSE)</f>
        <v>534</v>
      </c>
      <c r="I19" s="358">
        <f>VLOOKUP($A19,[0]!Data,278,FALSE)</f>
        <v>1635</v>
      </c>
      <c r="J19" s="358">
        <f>VLOOKUP($A19,[0]!Data,279,FALSE)</f>
        <v>158</v>
      </c>
      <c r="K19" s="358">
        <f>VLOOKUP($A19,[0]!Data,280,FALSE)</f>
        <v>10287</v>
      </c>
      <c r="L19" s="358">
        <f>VLOOKUP($A19,[0]!Data,290,FALSE)</f>
        <v>123</v>
      </c>
      <c r="M19" s="358">
        <f>VLOOKUP($A19,[0]!Data,292,FALSE)</f>
        <v>7</v>
      </c>
      <c r="N19" s="358">
        <f>VLOOKUP($A19,[0]!Data,281,FALSE)</f>
        <v>12080</v>
      </c>
      <c r="O19" s="490">
        <f>N19/'Table 1'!D19</f>
        <v>0.13634157628017743</v>
      </c>
      <c r="P19" s="358">
        <f>VLOOKUP($A19,[0]!Data,303,FALSE)</f>
        <v>683</v>
      </c>
      <c r="Q19" s="360">
        <f>VLOOKUP($A19,[0]!Data,304,FALSE)</f>
        <v>7481</v>
      </c>
    </row>
    <row r="20" spans="1:17" x14ac:dyDescent="0.25">
      <c r="A20" s="40" t="s">
        <v>961</v>
      </c>
      <c r="B20" s="40" t="s">
        <v>1939</v>
      </c>
      <c r="C20" s="358">
        <f>VLOOKUP($A20,[0]!Data,266,FALSE)</f>
        <v>48</v>
      </c>
      <c r="D20" s="358">
        <f>VLOOKUP($A20,[0]!Data,267,FALSE)</f>
        <v>42</v>
      </c>
      <c r="E20" s="358">
        <f>VLOOKUP($A20,[0]!Data,268,FALSE)</f>
        <v>762</v>
      </c>
      <c r="F20" s="358">
        <f>VLOOKUP($A20,[0]!Data,289,FALSE)</f>
        <v>18</v>
      </c>
      <c r="G20" s="358">
        <f>VLOOKUP($A20,[0]!Data,291,FALSE)</f>
        <v>39</v>
      </c>
      <c r="H20" s="358">
        <f>VLOOKUP($A20,[0]!Data,269,FALSE)</f>
        <v>852</v>
      </c>
      <c r="I20" s="358">
        <f>VLOOKUP($A20,[0]!Data,278,FALSE)</f>
        <v>973</v>
      </c>
      <c r="J20" s="358">
        <f>VLOOKUP($A20,[0]!Data,279,FALSE)</f>
        <v>827</v>
      </c>
      <c r="K20" s="358">
        <f>VLOOKUP($A20,[0]!Data,280,FALSE)</f>
        <v>3919</v>
      </c>
      <c r="L20" s="358">
        <f>VLOOKUP($A20,[0]!Data,290,FALSE)</f>
        <v>82</v>
      </c>
      <c r="M20" s="358">
        <f>VLOOKUP($A20,[0]!Data,292,FALSE)</f>
        <v>127</v>
      </c>
      <c r="N20" s="358">
        <f>VLOOKUP($A20,[0]!Data,281,FALSE)</f>
        <v>5719</v>
      </c>
      <c r="O20" s="490">
        <f>N20/'Table 1'!D20</f>
        <v>0.10001399041656465</v>
      </c>
      <c r="P20" s="358">
        <f>VLOOKUP($A20,[0]!Data,303,FALSE)</f>
        <v>48</v>
      </c>
      <c r="Q20" s="360">
        <f>VLOOKUP($A20,[0]!Data,304,FALSE)</f>
        <v>437</v>
      </c>
    </row>
    <row r="21" spans="1:17" x14ac:dyDescent="0.25">
      <c r="A21" s="40" t="s">
        <v>991</v>
      </c>
      <c r="B21" s="40" t="s">
        <v>1940</v>
      </c>
      <c r="C21" s="358">
        <f>VLOOKUP($A21,[0]!Data,266,FALSE)</f>
        <v>945</v>
      </c>
      <c r="D21" s="358">
        <f>VLOOKUP($A21,[0]!Data,267,FALSE)</f>
        <v>774</v>
      </c>
      <c r="E21" s="358">
        <f>VLOOKUP($A21,[0]!Data,268,FALSE)</f>
        <v>2396</v>
      </c>
      <c r="F21" s="358">
        <f>VLOOKUP($A21,[0]!Data,289,FALSE)</f>
        <v>180</v>
      </c>
      <c r="G21" s="358">
        <f>VLOOKUP($A21,[0]!Data,291,FALSE)</f>
        <v>174</v>
      </c>
      <c r="H21" s="358">
        <f>VLOOKUP($A21,[0]!Data,269,FALSE)</f>
        <v>4115</v>
      </c>
      <c r="I21" s="358">
        <f>VLOOKUP($A21,[0]!Data,278,FALSE)</f>
        <v>12051</v>
      </c>
      <c r="J21" s="358">
        <f>VLOOKUP($A21,[0]!Data,279,FALSE)</f>
        <v>17728</v>
      </c>
      <c r="K21" s="358">
        <f>VLOOKUP($A21,[0]!Data,280,FALSE)</f>
        <v>65518</v>
      </c>
      <c r="L21" s="358">
        <f>VLOOKUP($A21,[0]!Data,290,FALSE)</f>
        <v>2677</v>
      </c>
      <c r="M21" s="358">
        <f>VLOOKUP($A21,[0]!Data,292,FALSE)</f>
        <v>910</v>
      </c>
      <c r="N21" s="358">
        <f>VLOOKUP($A21,[0]!Data,281,FALSE)</f>
        <v>95297</v>
      </c>
      <c r="O21" s="490">
        <f>N21/'Table 1'!D21</f>
        <v>0.28893288541767731</v>
      </c>
      <c r="P21" s="358">
        <f>VLOOKUP($A21,[0]!Data,303,FALSE)</f>
        <v>11211</v>
      </c>
      <c r="Q21" s="360">
        <f>VLOOKUP($A21,[0]!Data,304,FALSE)</f>
        <v>66082</v>
      </c>
    </row>
    <row r="22" spans="1:17" x14ac:dyDescent="0.25">
      <c r="A22" s="40" t="s">
        <v>1007</v>
      </c>
      <c r="B22" s="40" t="s">
        <v>1941</v>
      </c>
      <c r="C22" s="358">
        <f>VLOOKUP($A22,[0]!Data,266,FALSE)</f>
        <v>640</v>
      </c>
      <c r="D22" s="358">
        <f>VLOOKUP($A22,[0]!Data,267,FALSE)</f>
        <v>198</v>
      </c>
      <c r="E22" s="358">
        <f>VLOOKUP($A22,[0]!Data,268,FALSE)</f>
        <v>1970</v>
      </c>
      <c r="F22" s="358">
        <f>VLOOKUP($A22,[0]!Data,289,FALSE)</f>
        <v>83</v>
      </c>
      <c r="G22" s="358">
        <f>VLOOKUP($A22,[0]!Data,291,FALSE)</f>
        <v>391</v>
      </c>
      <c r="H22" s="358">
        <f>VLOOKUP($A22,[0]!Data,269,FALSE)</f>
        <v>2808</v>
      </c>
      <c r="I22" s="358">
        <f>VLOOKUP($A22,[0]!Data,278,FALSE)</f>
        <v>17929</v>
      </c>
      <c r="J22" s="358">
        <f>VLOOKUP($A22,[0]!Data,279,FALSE)</f>
        <v>4505</v>
      </c>
      <c r="K22" s="358">
        <f>VLOOKUP($A22,[0]!Data,280,FALSE)</f>
        <v>53898</v>
      </c>
      <c r="L22" s="358">
        <f>VLOOKUP($A22,[0]!Data,290,FALSE)</f>
        <v>751</v>
      </c>
      <c r="M22" s="358">
        <f>VLOOKUP($A22,[0]!Data,292,FALSE)</f>
        <v>2298</v>
      </c>
      <c r="N22" s="358">
        <f>VLOOKUP($A22,[0]!Data,281,FALSE)</f>
        <v>76332</v>
      </c>
      <c r="O22" s="490">
        <f>N22/'Table 1'!D22</f>
        <v>0.47669364508393286</v>
      </c>
      <c r="P22" s="358">
        <f>VLOOKUP($A22,[0]!Data,303,FALSE)</f>
        <v>1320</v>
      </c>
      <c r="Q22" s="360">
        <f>VLOOKUP($A22,[0]!Data,304,FALSE)</f>
        <v>18213</v>
      </c>
    </row>
    <row r="23" spans="1:17" x14ac:dyDescent="0.25">
      <c r="A23" s="40" t="s">
        <v>1024</v>
      </c>
      <c r="B23" s="40" t="s">
        <v>1942</v>
      </c>
      <c r="C23" s="358">
        <f>VLOOKUP($A23,[0]!Data,266,FALSE)</f>
        <v>19</v>
      </c>
      <c r="D23" s="358">
        <f>VLOOKUP($A23,[0]!Data,267,FALSE)</f>
        <v>36</v>
      </c>
      <c r="E23" s="358">
        <f>VLOOKUP($A23,[0]!Data,268,FALSE)</f>
        <v>817</v>
      </c>
      <c r="F23" s="358">
        <f>VLOOKUP($A23,[0]!Data,289,FALSE)</f>
        <v>36</v>
      </c>
      <c r="G23" s="358">
        <f>VLOOKUP($A23,[0]!Data,291,FALSE)</f>
        <v>8</v>
      </c>
      <c r="H23" s="358">
        <f>VLOOKUP($A23,[0]!Data,269,FALSE)</f>
        <v>872</v>
      </c>
      <c r="I23" s="358">
        <f>VLOOKUP($A23,[0]!Data,278,FALSE)</f>
        <v>189</v>
      </c>
      <c r="J23" s="358">
        <f>VLOOKUP($A23,[0]!Data,279,FALSE)</f>
        <v>363</v>
      </c>
      <c r="K23" s="358">
        <f>VLOOKUP($A23,[0]!Data,280,FALSE)</f>
        <v>20206</v>
      </c>
      <c r="L23" s="358">
        <f>VLOOKUP($A23,[0]!Data,290,FALSE)</f>
        <v>225</v>
      </c>
      <c r="M23" s="358">
        <f>VLOOKUP($A23,[0]!Data,292,FALSE)</f>
        <v>63</v>
      </c>
      <c r="N23" s="358">
        <f>VLOOKUP($A23,[0]!Data,281,FALSE)</f>
        <v>20758</v>
      </c>
      <c r="O23" s="490">
        <f>N23/'Table 1'!D23</f>
        <v>0.4917675487432186</v>
      </c>
      <c r="P23" s="358">
        <f>VLOOKUP($A23,[0]!Data,303,FALSE)</f>
        <v>1185</v>
      </c>
      <c r="Q23" s="360">
        <f>VLOOKUP($A23,[0]!Data,304,FALSE)</f>
        <v>6655</v>
      </c>
    </row>
    <row r="24" spans="1:17" x14ac:dyDescent="0.25">
      <c r="A24" s="40" t="s">
        <v>1037</v>
      </c>
      <c r="B24" s="40" t="s">
        <v>1943</v>
      </c>
      <c r="C24" s="358">
        <f>VLOOKUP($A24,[0]!Data,266,FALSE)</f>
        <v>3</v>
      </c>
      <c r="D24" s="358">
        <f>VLOOKUP($A24,[0]!Data,267,FALSE)</f>
        <v>0</v>
      </c>
      <c r="E24" s="358">
        <f>VLOOKUP($A24,[0]!Data,268,FALSE)</f>
        <v>128</v>
      </c>
      <c r="F24" s="358">
        <f>VLOOKUP($A24,[0]!Data,289,FALSE)</f>
        <v>2</v>
      </c>
      <c r="G24" s="358">
        <f>VLOOKUP($A24,[0]!Data,291,FALSE)</f>
        <v>1</v>
      </c>
      <c r="H24" s="358">
        <f>VLOOKUP($A24,[0]!Data,269,FALSE)</f>
        <v>131</v>
      </c>
      <c r="I24" s="358">
        <f>VLOOKUP($A24,[0]!Data,278,FALSE)</f>
        <v>4</v>
      </c>
      <c r="J24" s="358">
        <f>VLOOKUP($A24,[0]!Data,279,FALSE)</f>
        <v>0</v>
      </c>
      <c r="K24" s="358">
        <f>VLOOKUP($A24,[0]!Data,280,FALSE)</f>
        <v>3629</v>
      </c>
      <c r="L24" s="358">
        <f>VLOOKUP($A24,[0]!Data,290,FALSE)</f>
        <v>4</v>
      </c>
      <c r="M24" s="358">
        <f>VLOOKUP($A24,[0]!Data,292,FALSE)</f>
        <v>4</v>
      </c>
      <c r="N24" s="358">
        <f>VLOOKUP($A24,[0]!Data,281,FALSE)</f>
        <v>3633</v>
      </c>
      <c r="O24" s="490">
        <f>N24/'Table 1'!D24</f>
        <v>6.095944426732889E-2</v>
      </c>
      <c r="P24" s="358">
        <f>VLOOKUP($A24,[0]!Data,303,FALSE)</f>
        <v>122</v>
      </c>
      <c r="Q24" s="360">
        <f>VLOOKUP($A24,[0]!Data,304,FALSE)</f>
        <v>831</v>
      </c>
    </row>
    <row r="25" spans="1:17" x14ac:dyDescent="0.25">
      <c r="A25" s="40" t="s">
        <v>1053</v>
      </c>
      <c r="B25" s="40" t="s">
        <v>1944</v>
      </c>
      <c r="C25" s="358">
        <f>VLOOKUP($A25,[0]!Data,266,FALSE)</f>
        <v>2206</v>
      </c>
      <c r="D25" s="358">
        <f>VLOOKUP($A25,[0]!Data,267,FALSE)</f>
        <v>932</v>
      </c>
      <c r="E25" s="358">
        <f>VLOOKUP($A25,[0]!Data,268,FALSE)</f>
        <v>2554</v>
      </c>
      <c r="F25" s="358">
        <f>VLOOKUP($A25,[0]!Data,289,FALSE)</f>
        <v>3</v>
      </c>
      <c r="G25" s="358">
        <f>VLOOKUP($A25,[0]!Data,291,FALSE)</f>
        <v>179</v>
      </c>
      <c r="H25" s="358">
        <f>VLOOKUP($A25,[0]!Data,269,FALSE)</f>
        <v>5692</v>
      </c>
      <c r="I25" s="358">
        <f>VLOOKUP($A25,[0]!Data,278,FALSE)</f>
        <v>20648</v>
      </c>
      <c r="J25" s="358">
        <f>VLOOKUP($A25,[0]!Data,279,FALSE)</f>
        <v>9845</v>
      </c>
      <c r="K25" s="358">
        <f>VLOOKUP($A25,[0]!Data,280,FALSE)</f>
        <v>66655</v>
      </c>
      <c r="L25" s="358">
        <f>VLOOKUP($A25,[0]!Data,290,FALSE)</f>
        <v>50</v>
      </c>
      <c r="M25" s="358">
        <f>VLOOKUP($A25,[0]!Data,292,FALSE)</f>
        <v>900</v>
      </c>
      <c r="N25" s="358">
        <f>VLOOKUP($A25,[0]!Data,281,FALSE)</f>
        <v>97148</v>
      </c>
      <c r="O25" s="490">
        <f>N25/'Table 1'!D25</f>
        <v>0.32560664968494435</v>
      </c>
      <c r="P25" s="358">
        <f>VLOOKUP($A25,[0]!Data,303,FALSE)</f>
        <v>7844</v>
      </c>
      <c r="Q25" s="360">
        <f>VLOOKUP($A25,[0]!Data,304,FALSE)</f>
        <v>10029</v>
      </c>
    </row>
    <row r="26" spans="1:17" x14ac:dyDescent="0.25">
      <c r="A26" s="40" t="s">
        <v>1086</v>
      </c>
      <c r="B26" s="40" t="s">
        <v>1945</v>
      </c>
      <c r="C26" s="358">
        <f>VLOOKUP($A26,[0]!Data,266,FALSE)</f>
        <v>95</v>
      </c>
      <c r="D26" s="358">
        <f>VLOOKUP($A26,[0]!Data,267,FALSE)</f>
        <v>0</v>
      </c>
      <c r="E26" s="358">
        <f>VLOOKUP($A26,[0]!Data,268,FALSE)</f>
        <v>345</v>
      </c>
      <c r="F26" s="358">
        <f>VLOOKUP($A26,[0]!Data,289,FALSE)</f>
        <v>0</v>
      </c>
      <c r="G26" s="358">
        <f>VLOOKUP($A26,[0]!Data,291,FALSE)</f>
        <v>0</v>
      </c>
      <c r="H26" s="358">
        <f>VLOOKUP($A26,[0]!Data,269,FALSE)</f>
        <v>440</v>
      </c>
      <c r="I26" s="358">
        <f>VLOOKUP($A26,[0]!Data,278,FALSE)</f>
        <v>1094</v>
      </c>
      <c r="J26" s="358">
        <f>VLOOKUP($A26,[0]!Data,279,FALSE)</f>
        <v>0</v>
      </c>
      <c r="K26" s="358">
        <f>VLOOKUP($A26,[0]!Data,280,FALSE)</f>
        <v>8597</v>
      </c>
      <c r="L26" s="358">
        <f>VLOOKUP($A26,[0]!Data,290,FALSE)</f>
        <v>0</v>
      </c>
      <c r="M26" s="358">
        <f>VLOOKUP($A26,[0]!Data,292,FALSE)</f>
        <v>0</v>
      </c>
      <c r="N26" s="358">
        <f>VLOOKUP($A26,[0]!Data,281,FALSE)</f>
        <v>9691</v>
      </c>
      <c r="O26" s="490">
        <f>N26/'Table 1'!D26</f>
        <v>0.18113341557324961</v>
      </c>
      <c r="P26" s="358">
        <f>VLOOKUP($A26,[0]!Data,303,FALSE)</f>
        <v>406</v>
      </c>
      <c r="Q26" s="360">
        <f>VLOOKUP($A26,[0]!Data,304,FALSE)</f>
        <v>2097</v>
      </c>
    </row>
    <row r="27" spans="1:17" x14ac:dyDescent="0.25">
      <c r="A27" s="40" t="s">
        <v>1132</v>
      </c>
      <c r="B27" s="40" t="s">
        <v>1946</v>
      </c>
      <c r="C27" s="358">
        <f>VLOOKUP($A27,[0]!Data,266,FALSE)</f>
        <v>3349</v>
      </c>
      <c r="D27" s="358">
        <f>VLOOKUP($A27,[0]!Data,267,FALSE)</f>
        <v>177</v>
      </c>
      <c r="E27" s="358">
        <f>VLOOKUP($A27,[0]!Data,268,FALSE)</f>
        <v>1752</v>
      </c>
      <c r="F27" s="358">
        <f>VLOOKUP($A27,[0]!Data,289,FALSE)</f>
        <v>460</v>
      </c>
      <c r="G27" s="358">
        <f>VLOOKUP($A27,[0]!Data,291,FALSE)</f>
        <v>887</v>
      </c>
      <c r="H27" s="358">
        <f>VLOOKUP($A27,[0]!Data,269,FALSE)</f>
        <v>5278</v>
      </c>
      <c r="I27" s="358">
        <f>VLOOKUP($A27,[0]!Data,278,FALSE)</f>
        <v>50478</v>
      </c>
      <c r="J27" s="358">
        <f>VLOOKUP($A27,[0]!Data,279,FALSE)</f>
        <v>2575</v>
      </c>
      <c r="K27" s="358">
        <f>VLOOKUP($A27,[0]!Data,280,FALSE)</f>
        <v>64732</v>
      </c>
      <c r="L27" s="358">
        <f>VLOOKUP($A27,[0]!Data,290,FALSE)</f>
        <v>941</v>
      </c>
      <c r="M27" s="358">
        <f>VLOOKUP($A27,[0]!Data,292,FALSE)</f>
        <v>1352</v>
      </c>
      <c r="N27" s="358">
        <f>VLOOKUP($A27,[0]!Data,281,FALSE)</f>
        <v>117785</v>
      </c>
      <c r="O27" s="490">
        <f>N27/'Table 1'!D27</f>
        <v>0.31910282217098829</v>
      </c>
      <c r="P27" s="358">
        <f>VLOOKUP($A27,[0]!Data,303,FALSE)</f>
        <v>3898</v>
      </c>
      <c r="Q27" s="360">
        <f>VLOOKUP($A27,[0]!Data,304,FALSE)</f>
        <v>57637</v>
      </c>
    </row>
    <row r="28" spans="1:17" x14ac:dyDescent="0.25">
      <c r="A28" s="40" t="s">
        <v>1146</v>
      </c>
      <c r="B28" s="40" t="s">
        <v>1947</v>
      </c>
      <c r="C28" s="358">
        <f>VLOOKUP($A28,[0]!Data,266,FALSE)</f>
        <v>8</v>
      </c>
      <c r="D28" s="358">
        <f>VLOOKUP($A28,[0]!Data,267,FALSE)</f>
        <v>0</v>
      </c>
      <c r="E28" s="358">
        <f>VLOOKUP($A28,[0]!Data,268,FALSE)</f>
        <v>215</v>
      </c>
      <c r="F28" s="358">
        <f>VLOOKUP($A28,[0]!Data,289,FALSE)</f>
        <v>0</v>
      </c>
      <c r="G28" s="358">
        <f>VLOOKUP($A28,[0]!Data,291,FALSE)</f>
        <v>2</v>
      </c>
      <c r="H28" s="358">
        <f>VLOOKUP($A28,[0]!Data,269,FALSE)</f>
        <v>223</v>
      </c>
      <c r="I28" s="358">
        <f>VLOOKUP($A28,[0]!Data,278,FALSE)</f>
        <v>42</v>
      </c>
      <c r="J28" s="358">
        <f>VLOOKUP($A28,[0]!Data,279,FALSE)</f>
        <v>0</v>
      </c>
      <c r="K28" s="358">
        <f>VLOOKUP($A28,[0]!Data,280,FALSE)</f>
        <v>2116</v>
      </c>
      <c r="L28" s="358">
        <f>VLOOKUP($A28,[0]!Data,290,FALSE)</f>
        <v>0</v>
      </c>
      <c r="M28" s="358">
        <f>VLOOKUP($A28,[0]!Data,292,FALSE)</f>
        <v>24</v>
      </c>
      <c r="N28" s="358">
        <f>VLOOKUP($A28,[0]!Data,281,FALSE)</f>
        <v>2158</v>
      </c>
      <c r="O28" s="490">
        <f>N28/'Table 1'!D28</f>
        <v>3.2974253189701277E-2</v>
      </c>
      <c r="P28" s="358">
        <f>VLOOKUP($A28,[0]!Data,303,FALSE)</f>
        <v>448</v>
      </c>
      <c r="Q28" s="360">
        <f>VLOOKUP($A28,[0]!Data,304,FALSE)</f>
        <v>20163</v>
      </c>
    </row>
    <row r="29" spans="1:17" x14ac:dyDescent="0.25">
      <c r="A29" s="40" t="s">
        <v>1161</v>
      </c>
      <c r="B29" s="40" t="s">
        <v>1176</v>
      </c>
      <c r="C29" s="358">
        <f>VLOOKUP($A29,[0]!Data,266,FALSE)</f>
        <v>1891</v>
      </c>
      <c r="D29" s="358">
        <f>VLOOKUP($A29,[0]!Data,267,FALSE)</f>
        <v>1000</v>
      </c>
      <c r="E29" s="358">
        <f>VLOOKUP($A29,[0]!Data,268,FALSE)</f>
        <v>3792</v>
      </c>
      <c r="F29" s="358">
        <f>VLOOKUP($A29,[0]!Data,289,FALSE)</f>
        <v>88</v>
      </c>
      <c r="G29" s="358">
        <f>VLOOKUP($A29,[0]!Data,291,FALSE)</f>
        <v>515</v>
      </c>
      <c r="H29" s="358">
        <f>VLOOKUP($A29,[0]!Data,269,FALSE)</f>
        <v>6683</v>
      </c>
      <c r="I29" s="358">
        <f>VLOOKUP($A29,[0]!Data,278,FALSE)</f>
        <v>18899</v>
      </c>
      <c r="J29" s="358">
        <f>VLOOKUP($A29,[0]!Data,279,FALSE)</f>
        <v>7804</v>
      </c>
      <c r="K29" s="358">
        <f>VLOOKUP($A29,[0]!Data,280,FALSE)</f>
        <v>104768</v>
      </c>
      <c r="L29" s="358">
        <f>VLOOKUP($A29,[0]!Data,290,FALSE)</f>
        <v>186</v>
      </c>
      <c r="M29" s="358">
        <f>VLOOKUP($A29,[0]!Data,292,FALSE)</f>
        <v>1171</v>
      </c>
      <c r="N29" s="358">
        <f>VLOOKUP($A29,[0]!Data,281,FALSE)</f>
        <v>131471</v>
      </c>
      <c r="O29" s="490">
        <f>N29/'Table 1'!D29</f>
        <v>0.61316711206876451</v>
      </c>
      <c r="P29" s="358">
        <f>VLOOKUP($A29,[0]!Data,303,FALSE)</f>
        <v>326</v>
      </c>
      <c r="Q29" s="360">
        <f>VLOOKUP($A29,[0]!Data,304,FALSE)</f>
        <v>18303</v>
      </c>
    </row>
    <row r="30" spans="1:17" x14ac:dyDescent="0.25">
      <c r="A30" s="40" t="s">
        <v>1187</v>
      </c>
      <c r="B30" s="40" t="s">
        <v>1948</v>
      </c>
      <c r="C30" s="358">
        <f>VLOOKUP($A30,[0]!Data,266,FALSE)</f>
        <v>206</v>
      </c>
      <c r="D30" s="358">
        <f>VLOOKUP($A30,[0]!Data,267,FALSE)</f>
        <v>42</v>
      </c>
      <c r="E30" s="358">
        <f>VLOOKUP($A30,[0]!Data,268,FALSE)</f>
        <v>221</v>
      </c>
      <c r="F30" s="358">
        <f>VLOOKUP($A30,[0]!Data,289,FALSE)</f>
        <v>230</v>
      </c>
      <c r="G30" s="358">
        <f>VLOOKUP($A30,[0]!Data,291,FALSE)</f>
        <v>40</v>
      </c>
      <c r="H30" s="358">
        <f>VLOOKUP($A30,[0]!Data,269,FALSE)</f>
        <v>469</v>
      </c>
      <c r="I30" s="358">
        <f>VLOOKUP($A30,[0]!Data,278,FALSE)</f>
        <v>1839</v>
      </c>
      <c r="J30" s="358">
        <f>VLOOKUP($A30,[0]!Data,279,FALSE)</f>
        <v>830</v>
      </c>
      <c r="K30" s="358">
        <f>VLOOKUP($A30,[0]!Data,280,FALSE)</f>
        <v>4334</v>
      </c>
      <c r="L30" s="358">
        <f>VLOOKUP($A30,[0]!Data,290,FALSE)</f>
        <v>9000</v>
      </c>
      <c r="M30" s="358">
        <f>VLOOKUP($A30,[0]!Data,292,FALSE)</f>
        <v>128</v>
      </c>
      <c r="N30" s="358">
        <f>VLOOKUP($A30,[0]!Data,281,FALSE)</f>
        <v>7003</v>
      </c>
      <c r="O30" s="490">
        <f>N30/'Table 1'!D30</f>
        <v>0.11783016169468141</v>
      </c>
      <c r="P30" s="358">
        <f>VLOOKUP($A30,[0]!Data,303,FALSE)</f>
        <v>350</v>
      </c>
      <c r="Q30" s="360">
        <f>VLOOKUP($A30,[0]!Data,304,FALSE)</f>
        <v>7500</v>
      </c>
    </row>
    <row r="31" spans="1:17" x14ac:dyDescent="0.25">
      <c r="A31" s="40" t="s">
        <v>1201</v>
      </c>
      <c r="B31" s="40" t="s">
        <v>1949</v>
      </c>
      <c r="C31" s="358">
        <f>VLOOKUP($A31,[0]!Data,266,FALSE)</f>
        <v>1677</v>
      </c>
      <c r="D31" s="358">
        <f>VLOOKUP($A31,[0]!Data,267,FALSE)</f>
        <v>336</v>
      </c>
      <c r="E31" s="358">
        <f>VLOOKUP($A31,[0]!Data,268,FALSE)</f>
        <v>2534</v>
      </c>
      <c r="F31" s="358">
        <f>VLOOKUP($A31,[0]!Data,289,FALSE)</f>
        <v>92</v>
      </c>
      <c r="G31" s="358">
        <f>VLOOKUP($A31,[0]!Data,291,FALSE)</f>
        <v>181</v>
      </c>
      <c r="H31" s="358">
        <f>VLOOKUP($A31,[0]!Data,269,FALSE)</f>
        <v>4547</v>
      </c>
      <c r="I31" s="358">
        <f>VLOOKUP($A31,[0]!Data,278,FALSE)</f>
        <v>11465</v>
      </c>
      <c r="J31" s="358">
        <f>VLOOKUP($A31,[0]!Data,279,FALSE)</f>
        <v>3197</v>
      </c>
      <c r="K31" s="358">
        <f>VLOOKUP($A31,[0]!Data,280,FALSE)</f>
        <v>76249</v>
      </c>
      <c r="L31" s="358">
        <f>VLOOKUP($A31,[0]!Data,290,FALSE)</f>
        <v>1040</v>
      </c>
      <c r="M31" s="358">
        <f>VLOOKUP($A31,[0]!Data,292,FALSE)</f>
        <v>700</v>
      </c>
      <c r="N31" s="358">
        <f>VLOOKUP($A31,[0]!Data,281,FALSE)</f>
        <v>90911</v>
      </c>
      <c r="O31" s="490">
        <f>N31/'Table 1'!D31</f>
        <v>0.21851714755453855</v>
      </c>
      <c r="P31" s="358">
        <f>VLOOKUP($A31,[0]!Data,303,FALSE)</f>
        <v>5789</v>
      </c>
      <c r="Q31" s="360">
        <f>VLOOKUP($A31,[0]!Data,304,FALSE)</f>
        <v>33874</v>
      </c>
    </row>
    <row r="32" spans="1:17" x14ac:dyDescent="0.25">
      <c r="A32" s="40" t="s">
        <v>1218</v>
      </c>
      <c r="B32" s="40" t="s">
        <v>1950</v>
      </c>
      <c r="C32" s="358">
        <f>VLOOKUP($A32,[0]!Data,266,FALSE)</f>
        <v>176</v>
      </c>
      <c r="D32" s="358">
        <f>VLOOKUP($A32,[0]!Data,267,FALSE)</f>
        <v>12</v>
      </c>
      <c r="E32" s="358">
        <f>VLOOKUP($A32,[0]!Data,268,FALSE)</f>
        <v>160</v>
      </c>
      <c r="F32" s="358">
        <f>VLOOKUP($A32,[0]!Data,289,FALSE)</f>
        <v>0</v>
      </c>
      <c r="G32" s="358">
        <f>VLOOKUP($A32,[0]!Data,291,FALSE)</f>
        <v>24</v>
      </c>
      <c r="H32" s="358">
        <f>VLOOKUP($A32,[0]!Data,269,FALSE)</f>
        <v>348</v>
      </c>
      <c r="I32" s="358">
        <f>VLOOKUP($A32,[0]!Data,278,FALSE)</f>
        <v>1470</v>
      </c>
      <c r="J32" s="358">
        <f>VLOOKUP($A32,[0]!Data,279,FALSE)</f>
        <v>102</v>
      </c>
      <c r="K32" s="358">
        <f>VLOOKUP($A32,[0]!Data,280,FALSE)</f>
        <v>3619</v>
      </c>
      <c r="L32" s="358">
        <f>VLOOKUP($A32,[0]!Data,290,FALSE)</f>
        <v>0</v>
      </c>
      <c r="M32" s="358">
        <f>VLOOKUP($A32,[0]!Data,292,FALSE)</f>
        <v>200</v>
      </c>
      <c r="N32" s="358">
        <f>VLOOKUP($A32,[0]!Data,281,FALSE)</f>
        <v>5191</v>
      </c>
      <c r="O32" s="490">
        <f>N32/'Table 1'!D32</f>
        <v>0.14007393615585959</v>
      </c>
      <c r="P32" s="358">
        <f>VLOOKUP($A32,[0]!Data,303,FALSE)</f>
        <v>110</v>
      </c>
      <c r="Q32" s="360">
        <f>VLOOKUP($A32,[0]!Data,304,FALSE)</f>
        <v>1051</v>
      </c>
    </row>
    <row r="33" spans="1:17" x14ac:dyDescent="0.25">
      <c r="A33" s="40" t="s">
        <v>1232</v>
      </c>
      <c r="B33" s="40" t="s">
        <v>1951</v>
      </c>
      <c r="C33" s="358">
        <f>VLOOKUP($A33,[0]!Data,266,FALSE)</f>
        <v>133</v>
      </c>
      <c r="D33" s="358">
        <f>VLOOKUP($A33,[0]!Data,267,FALSE)</f>
        <v>40</v>
      </c>
      <c r="E33" s="358">
        <f>VLOOKUP($A33,[0]!Data,268,FALSE)</f>
        <v>565</v>
      </c>
      <c r="F33" s="358">
        <f>VLOOKUP($A33,[0]!Data,289,FALSE)</f>
        <v>0</v>
      </c>
      <c r="G33" s="358">
        <f>VLOOKUP($A33,[0]!Data,291,FALSE)</f>
        <v>9</v>
      </c>
      <c r="H33" s="358">
        <f>VLOOKUP($A33,[0]!Data,269,FALSE)</f>
        <v>738</v>
      </c>
      <c r="I33" s="358">
        <f>VLOOKUP($A33,[0]!Data,278,FALSE)</f>
        <v>893</v>
      </c>
      <c r="J33" s="358">
        <f>VLOOKUP($A33,[0]!Data,279,FALSE)</f>
        <v>276</v>
      </c>
      <c r="K33" s="358">
        <f>VLOOKUP($A33,[0]!Data,280,FALSE)</f>
        <v>14646</v>
      </c>
      <c r="L33" s="358">
        <f>VLOOKUP($A33,[0]!Data,290,FALSE)</f>
        <v>0</v>
      </c>
      <c r="M33" s="358">
        <f>VLOOKUP($A33,[0]!Data,292,FALSE)</f>
        <v>22</v>
      </c>
      <c r="N33" s="358">
        <f>VLOOKUP($A33,[0]!Data,281,FALSE)</f>
        <v>15815</v>
      </c>
      <c r="O33" s="490">
        <f>N33/'Table 1'!D33</f>
        <v>0.12280347561401737</v>
      </c>
      <c r="P33" s="358">
        <f>VLOOKUP($A33,[0]!Data,303,FALSE)</f>
        <v>834</v>
      </c>
      <c r="Q33" s="360">
        <f>VLOOKUP($A33,[0]!Data,304,FALSE)</f>
        <v>3607</v>
      </c>
    </row>
    <row r="34" spans="1:17" x14ac:dyDescent="0.25">
      <c r="A34" s="40" t="s">
        <v>1256</v>
      </c>
      <c r="B34" s="40" t="s">
        <v>1952</v>
      </c>
      <c r="C34" s="358">
        <f>VLOOKUP($A34,[0]!Data,266,FALSE)</f>
        <v>454</v>
      </c>
      <c r="D34" s="358">
        <f>VLOOKUP($A34,[0]!Data,267,FALSE)</f>
        <v>6</v>
      </c>
      <c r="E34" s="358">
        <f>VLOOKUP($A34,[0]!Data,268,FALSE)</f>
        <v>539</v>
      </c>
      <c r="F34" s="358">
        <f>VLOOKUP($A34,[0]!Data,289,FALSE)</f>
        <v>9</v>
      </c>
      <c r="G34" s="358">
        <f>VLOOKUP($A34,[0]!Data,291,FALSE)</f>
        <v>75</v>
      </c>
      <c r="H34" s="358">
        <f>VLOOKUP($A34,[0]!Data,269,FALSE)</f>
        <v>999</v>
      </c>
      <c r="I34" s="358">
        <f>VLOOKUP($A34,[0]!Data,278,FALSE)</f>
        <v>4990</v>
      </c>
      <c r="J34" s="358">
        <f>VLOOKUP($A34,[0]!Data,279,FALSE)</f>
        <v>157</v>
      </c>
      <c r="K34" s="358">
        <f>VLOOKUP($A34,[0]!Data,280,FALSE)</f>
        <v>11998</v>
      </c>
      <c r="L34" s="358">
        <f>VLOOKUP($A34,[0]!Data,290,FALSE)</f>
        <v>81</v>
      </c>
      <c r="M34" s="358">
        <f>VLOOKUP($A34,[0]!Data,292,FALSE)</f>
        <v>100</v>
      </c>
      <c r="N34" s="358">
        <f>VLOOKUP($A34,[0]!Data,281,FALSE)</f>
        <v>17145</v>
      </c>
      <c r="O34" s="490">
        <f>N34/'Table 1'!D34</f>
        <v>0.27755742986190929</v>
      </c>
      <c r="P34" s="358">
        <f>VLOOKUP($A34,[0]!Data,303,FALSE)</f>
        <v>1552</v>
      </c>
      <c r="Q34" s="360">
        <f>VLOOKUP($A34,[0]!Data,304,FALSE)</f>
        <v>19249</v>
      </c>
    </row>
    <row r="35" spans="1:17" x14ac:dyDescent="0.25">
      <c r="A35" s="40" t="s">
        <v>1268</v>
      </c>
      <c r="B35" s="40" t="s">
        <v>1953</v>
      </c>
      <c r="C35" s="358">
        <f>VLOOKUP($A35,[0]!Data,266,FALSE)</f>
        <v>569</v>
      </c>
      <c r="D35" s="358">
        <f>VLOOKUP($A35,[0]!Data,267,FALSE)</f>
        <v>63</v>
      </c>
      <c r="E35" s="358">
        <f>VLOOKUP($A35,[0]!Data,268,FALSE)</f>
        <v>655</v>
      </c>
      <c r="F35" s="358">
        <f>VLOOKUP($A35,[0]!Data,289,FALSE)</f>
        <v>4</v>
      </c>
      <c r="G35" s="358">
        <f>VLOOKUP($A35,[0]!Data,291,FALSE)</f>
        <v>47</v>
      </c>
      <c r="H35" s="358">
        <f>VLOOKUP($A35,[0]!Data,269,FALSE)</f>
        <v>1287</v>
      </c>
      <c r="I35" s="358">
        <f>VLOOKUP($A35,[0]!Data,278,FALSE)</f>
        <v>7136</v>
      </c>
      <c r="J35" s="358">
        <f>VLOOKUP($A35,[0]!Data,279,FALSE)</f>
        <v>430</v>
      </c>
      <c r="K35" s="358">
        <f>VLOOKUP($A35,[0]!Data,280,FALSE)</f>
        <v>21456</v>
      </c>
      <c r="L35" s="358">
        <f>VLOOKUP($A35,[0]!Data,290,FALSE)</f>
        <v>11</v>
      </c>
      <c r="M35" s="358">
        <f>VLOOKUP($A35,[0]!Data,292,FALSE)</f>
        <v>241</v>
      </c>
      <c r="N35" s="358">
        <f>VLOOKUP($A35,[0]!Data,281,FALSE)</f>
        <v>29022</v>
      </c>
      <c r="O35" s="490">
        <f>N35/'Table 1'!D35</f>
        <v>0.25372207894391746</v>
      </c>
      <c r="P35" s="358">
        <f>VLOOKUP($A35,[0]!Data,303,FALSE)</f>
        <v>6212</v>
      </c>
      <c r="Q35" s="360">
        <f>VLOOKUP($A35,[0]!Data,304,FALSE)</f>
        <v>0</v>
      </c>
    </row>
    <row r="36" spans="1:17" x14ac:dyDescent="0.25">
      <c r="A36" s="40" t="s">
        <v>1328</v>
      </c>
      <c r="B36" s="40" t="s">
        <v>1954</v>
      </c>
      <c r="C36" s="358">
        <f>VLOOKUP($A36,[0]!Data,266,FALSE)</f>
        <v>610</v>
      </c>
      <c r="D36" s="358">
        <f>VLOOKUP($A36,[0]!Data,267,FALSE)</f>
        <v>402</v>
      </c>
      <c r="E36" s="358">
        <f>VLOOKUP($A36,[0]!Data,268,FALSE)</f>
        <v>731</v>
      </c>
      <c r="F36" s="358">
        <f>VLOOKUP($A36,[0]!Data,289,FALSE)</f>
        <v>0</v>
      </c>
      <c r="G36" s="358">
        <f>VLOOKUP($A36,[0]!Data,291,FALSE)</f>
        <v>0</v>
      </c>
      <c r="H36" s="358">
        <f>VLOOKUP($A36,[0]!Data,269,FALSE)</f>
        <v>1743</v>
      </c>
      <c r="I36" s="358">
        <f>VLOOKUP($A36,[0]!Data,278,FALSE)</f>
        <v>3130</v>
      </c>
      <c r="J36" s="358">
        <f>VLOOKUP($A36,[0]!Data,279,FALSE)</f>
        <v>4134</v>
      </c>
      <c r="K36" s="358">
        <f>VLOOKUP($A36,[0]!Data,280,FALSE)</f>
        <v>16600</v>
      </c>
      <c r="L36" s="358">
        <f>VLOOKUP($A36,[0]!Data,290,FALSE)</f>
        <v>0</v>
      </c>
      <c r="M36" s="358">
        <f>VLOOKUP($A36,[0]!Data,292,FALSE)</f>
        <v>0</v>
      </c>
      <c r="N36" s="358">
        <f>VLOOKUP($A36,[0]!Data,281,FALSE)</f>
        <v>23864</v>
      </c>
      <c r="O36" s="490">
        <f>N36/'Table 1'!D36</f>
        <v>0.17766130893443416</v>
      </c>
      <c r="P36" s="358">
        <f>VLOOKUP($A36,[0]!Data,303,FALSE)</f>
        <v>1050</v>
      </c>
      <c r="Q36" s="360">
        <f>VLOOKUP($A36,[0]!Data,304,FALSE)</f>
        <v>10261</v>
      </c>
    </row>
    <row r="37" spans="1:17" x14ac:dyDescent="0.25">
      <c r="A37" s="40" t="s">
        <v>1585</v>
      </c>
      <c r="B37" s="40" t="s">
        <v>1316</v>
      </c>
      <c r="C37" s="358">
        <f>VLOOKUP($A37,[0]!Data,266,FALSE)</f>
        <v>116</v>
      </c>
      <c r="D37" s="358">
        <f>VLOOKUP($A37,[0]!Data,267,FALSE)</f>
        <v>32</v>
      </c>
      <c r="E37" s="358">
        <f>VLOOKUP($A37,[0]!Data,268,FALSE)</f>
        <v>528</v>
      </c>
      <c r="F37" s="358">
        <f>VLOOKUP($A37,[0]!Data,289,FALSE)</f>
        <v>0</v>
      </c>
      <c r="G37" s="358">
        <f>VLOOKUP($A37,[0]!Data,291,FALSE)</f>
        <v>0</v>
      </c>
      <c r="H37" s="358">
        <f>VLOOKUP($A37,[0]!Data,269,FALSE)</f>
        <v>676</v>
      </c>
      <c r="I37" s="358">
        <f>VLOOKUP($A37,[0]!Data,278,FALSE)</f>
        <v>1431</v>
      </c>
      <c r="J37" s="358">
        <f>VLOOKUP($A37,[0]!Data,279,FALSE)</f>
        <v>199</v>
      </c>
      <c r="K37" s="358">
        <f>VLOOKUP($A37,[0]!Data,280,FALSE)</f>
        <v>14173</v>
      </c>
      <c r="L37" s="358">
        <f>VLOOKUP($A37,[0]!Data,290,FALSE)</f>
        <v>0</v>
      </c>
      <c r="M37" s="358">
        <f>VLOOKUP($A37,[0]!Data,292,FALSE)</f>
        <v>0</v>
      </c>
      <c r="N37" s="358">
        <f>VLOOKUP($A37,[0]!Data,281,FALSE)</f>
        <v>15803</v>
      </c>
      <c r="O37" s="490">
        <f>N37/'Table 1'!D37</f>
        <v>9.2940782083477919E-2</v>
      </c>
      <c r="P37" s="358">
        <f>VLOOKUP($A37,[0]!Data,303,FALSE)</f>
        <v>448</v>
      </c>
      <c r="Q37" s="360">
        <f>VLOOKUP($A37,[0]!Data,304,FALSE)</f>
        <v>4307</v>
      </c>
    </row>
    <row r="38" spans="1:17" x14ac:dyDescent="0.25">
      <c r="A38" s="40" t="s">
        <v>1352</v>
      </c>
      <c r="B38" s="40" t="s">
        <v>1955</v>
      </c>
      <c r="C38" s="358">
        <f>VLOOKUP($A38,[0]!Data,266,FALSE)</f>
        <v>112</v>
      </c>
      <c r="D38" s="358">
        <f>VLOOKUP($A38,[0]!Data,267,FALSE)</f>
        <v>7</v>
      </c>
      <c r="E38" s="358">
        <f>VLOOKUP($A38,[0]!Data,268,FALSE)</f>
        <v>172</v>
      </c>
      <c r="F38" s="358">
        <f>VLOOKUP($A38,[0]!Data,289,FALSE)</f>
        <v>15</v>
      </c>
      <c r="G38" s="358">
        <f>VLOOKUP($A38,[0]!Data,291,FALSE)</f>
        <v>48</v>
      </c>
      <c r="H38" s="358">
        <f>VLOOKUP($A38,[0]!Data,269,FALSE)</f>
        <v>291</v>
      </c>
      <c r="I38" s="358">
        <f>VLOOKUP($A38,[0]!Data,278,FALSE)</f>
        <v>520</v>
      </c>
      <c r="J38" s="358">
        <f>VLOOKUP($A38,[0]!Data,279,FALSE)</f>
        <v>50</v>
      </c>
      <c r="K38" s="358">
        <f>VLOOKUP($A38,[0]!Data,280,FALSE)</f>
        <v>6715</v>
      </c>
      <c r="L38" s="358">
        <f>VLOOKUP($A38,[0]!Data,290,FALSE)</f>
        <v>58</v>
      </c>
      <c r="M38" s="358">
        <f>VLOOKUP($A38,[0]!Data,292,FALSE)</f>
        <v>194</v>
      </c>
      <c r="N38" s="358">
        <f>VLOOKUP($A38,[0]!Data,281,FALSE)</f>
        <v>7285</v>
      </c>
      <c r="O38" s="490">
        <f>N38/'Table 1'!D38</f>
        <v>0.12296603875497941</v>
      </c>
      <c r="P38" s="358">
        <f>VLOOKUP($A38,[0]!Data,303,FALSE)</f>
        <v>348</v>
      </c>
      <c r="Q38" s="360">
        <f>VLOOKUP($A38,[0]!Data,304,FALSE)</f>
        <v>2088</v>
      </c>
    </row>
    <row r="39" spans="1:17" x14ac:dyDescent="0.25">
      <c r="A39" s="40" t="s">
        <v>1365</v>
      </c>
      <c r="B39" s="40" t="s">
        <v>1956</v>
      </c>
      <c r="C39" s="358">
        <f>VLOOKUP($A39,[0]!Data,266,FALSE)</f>
        <v>103</v>
      </c>
      <c r="D39" s="358">
        <f>VLOOKUP($A39,[0]!Data,267,FALSE)</f>
        <v>96</v>
      </c>
      <c r="E39" s="358">
        <f>VLOOKUP($A39,[0]!Data,268,FALSE)</f>
        <v>534</v>
      </c>
      <c r="F39" s="358">
        <f>VLOOKUP($A39,[0]!Data,289,FALSE)</f>
        <v>3</v>
      </c>
      <c r="G39" s="358">
        <f>VLOOKUP($A39,[0]!Data,291,FALSE)</f>
        <v>23</v>
      </c>
      <c r="H39" s="358">
        <f>VLOOKUP($A39,[0]!Data,269,FALSE)</f>
        <v>733</v>
      </c>
      <c r="I39" s="358">
        <f>VLOOKUP($A39,[0]!Data,278,FALSE)</f>
        <v>1471</v>
      </c>
      <c r="J39" s="358">
        <f>VLOOKUP($A39,[0]!Data,279,FALSE)</f>
        <v>1547</v>
      </c>
      <c r="K39" s="358">
        <f>VLOOKUP($A39,[0]!Data,280,FALSE)</f>
        <v>15570</v>
      </c>
      <c r="L39" s="358">
        <f>VLOOKUP($A39,[0]!Data,290,FALSE)</f>
        <v>14</v>
      </c>
      <c r="M39" s="358">
        <f>VLOOKUP($A39,[0]!Data,292,FALSE)</f>
        <v>237</v>
      </c>
      <c r="N39" s="358">
        <f>VLOOKUP($A39,[0]!Data,281,FALSE)</f>
        <v>18588</v>
      </c>
      <c r="O39" s="490">
        <f>N39/'Table 1'!D39</f>
        <v>0.22659173747150538</v>
      </c>
      <c r="P39" s="358">
        <f>VLOOKUP($A39,[0]!Data,303,FALSE)</f>
        <v>103</v>
      </c>
      <c r="Q39" s="360">
        <f>VLOOKUP($A39,[0]!Data,304,FALSE)</f>
        <v>1112</v>
      </c>
    </row>
    <row r="40" spans="1:17" x14ac:dyDescent="0.25">
      <c r="A40" s="40" t="s">
        <v>1383</v>
      </c>
      <c r="B40" s="40" t="s">
        <v>1957</v>
      </c>
      <c r="C40" s="358">
        <f>VLOOKUP($A40,[0]!Data,266,FALSE)</f>
        <v>134</v>
      </c>
      <c r="D40" s="358">
        <f>VLOOKUP($A40,[0]!Data,267,FALSE)</f>
        <v>61</v>
      </c>
      <c r="E40" s="358">
        <f>VLOOKUP($A40,[0]!Data,268,FALSE)</f>
        <v>458</v>
      </c>
      <c r="F40" s="358">
        <f>VLOOKUP($A40,[0]!Data,289,FALSE)</f>
        <v>28</v>
      </c>
      <c r="G40" s="358">
        <f>VLOOKUP($A40,[0]!Data,291,FALSE)</f>
        <v>44</v>
      </c>
      <c r="H40" s="358">
        <f>VLOOKUP($A40,[0]!Data,269,FALSE)</f>
        <v>653</v>
      </c>
      <c r="I40" s="358">
        <f>VLOOKUP($A40,[0]!Data,278,FALSE)</f>
        <v>2760</v>
      </c>
      <c r="J40" s="358">
        <f>VLOOKUP($A40,[0]!Data,279,FALSE)</f>
        <v>1449</v>
      </c>
      <c r="K40" s="358">
        <f>VLOOKUP($A40,[0]!Data,280,FALSE)</f>
        <v>12833</v>
      </c>
      <c r="L40" s="358">
        <f>VLOOKUP($A40,[0]!Data,290,FALSE)</f>
        <v>147</v>
      </c>
      <c r="M40" s="358">
        <f>VLOOKUP($A40,[0]!Data,292,FALSE)</f>
        <v>286</v>
      </c>
      <c r="N40" s="358">
        <f>VLOOKUP($A40,[0]!Data,281,FALSE)</f>
        <v>17042</v>
      </c>
      <c r="O40" s="490">
        <f>N40/'Table 1'!D40</f>
        <v>0.77537649574593925</v>
      </c>
      <c r="P40" s="358">
        <f>VLOOKUP($A40,[0]!Data,303,FALSE)</f>
        <v>465</v>
      </c>
      <c r="Q40" s="360">
        <f>VLOOKUP($A40,[0]!Data,304,FALSE)</f>
        <v>6609</v>
      </c>
    </row>
    <row r="41" spans="1:17" x14ac:dyDescent="0.25">
      <c r="A41" s="40" t="s">
        <v>1397</v>
      </c>
      <c r="B41" s="40" t="s">
        <v>1958</v>
      </c>
      <c r="C41" s="358">
        <f>VLOOKUP($A41,[0]!Data,266,FALSE)</f>
        <v>107</v>
      </c>
      <c r="D41" s="358">
        <f>VLOOKUP($A41,[0]!Data,267,FALSE)</f>
        <v>118</v>
      </c>
      <c r="E41" s="358">
        <f>VLOOKUP($A41,[0]!Data,268,FALSE)</f>
        <v>310</v>
      </c>
      <c r="F41" s="358">
        <f>VLOOKUP($A41,[0]!Data,289,FALSE)</f>
        <v>21</v>
      </c>
      <c r="G41" s="358">
        <f>VLOOKUP($A41,[0]!Data,291,FALSE)</f>
        <v>48</v>
      </c>
      <c r="H41" s="358">
        <f>VLOOKUP($A41,[0]!Data,269,FALSE)</f>
        <v>535</v>
      </c>
      <c r="I41" s="358">
        <f>VLOOKUP($A41,[0]!Data,278,FALSE)</f>
        <v>1114</v>
      </c>
      <c r="J41" s="358">
        <f>VLOOKUP($A41,[0]!Data,279,FALSE)</f>
        <v>1234</v>
      </c>
      <c r="K41" s="358">
        <f>VLOOKUP($A41,[0]!Data,280,FALSE)</f>
        <v>7189</v>
      </c>
      <c r="L41" s="358">
        <f>VLOOKUP($A41,[0]!Data,290,FALSE)</f>
        <v>63</v>
      </c>
      <c r="M41" s="358">
        <f>VLOOKUP($A41,[0]!Data,292,FALSE)</f>
        <v>157</v>
      </c>
      <c r="N41" s="358">
        <f>VLOOKUP($A41,[0]!Data,281,FALSE)</f>
        <v>9537</v>
      </c>
      <c r="O41" s="490">
        <f>N41/'Table 1'!D41</f>
        <v>0.2095583388266315</v>
      </c>
      <c r="P41" s="358">
        <f>VLOOKUP($A41,[0]!Data,303,FALSE)</f>
        <v>270</v>
      </c>
      <c r="Q41" s="360">
        <f>VLOOKUP($A41,[0]!Data,304,FALSE)</f>
        <v>2718</v>
      </c>
    </row>
    <row r="42" spans="1:17" x14ac:dyDescent="0.25">
      <c r="A42" s="40" t="s">
        <v>915</v>
      </c>
      <c r="B42" s="40" t="s">
        <v>1959</v>
      </c>
      <c r="C42" s="358">
        <f>VLOOKUP($A42,[0]!Data,266,FALSE)</f>
        <v>4414</v>
      </c>
      <c r="D42" s="358">
        <f>VLOOKUP($A42,[0]!Data,267,FALSE)</f>
        <v>3276</v>
      </c>
      <c r="E42" s="358">
        <f>VLOOKUP($A42,[0]!Data,268,FALSE)</f>
        <v>19883</v>
      </c>
      <c r="F42" s="358">
        <f>VLOOKUP($A42,[0]!Data,289,FALSE)</f>
        <v>533</v>
      </c>
      <c r="G42" s="358">
        <f>VLOOKUP($A42,[0]!Data,291,FALSE)</f>
        <v>2187</v>
      </c>
      <c r="H42" s="358">
        <f>VLOOKUP($A42,[0]!Data,269,FALSE)</f>
        <v>27573</v>
      </c>
      <c r="I42" s="358">
        <f>VLOOKUP($A42,[0]!Data,278,FALSE)</f>
        <v>48551</v>
      </c>
      <c r="J42" s="358">
        <f>VLOOKUP($A42,[0]!Data,279,FALSE)</f>
        <v>29579</v>
      </c>
      <c r="K42" s="358">
        <f>VLOOKUP($A42,[0]!Data,280,FALSE)</f>
        <v>325198</v>
      </c>
      <c r="L42" s="358">
        <f>VLOOKUP($A42,[0]!Data,290,FALSE)</f>
        <v>3060</v>
      </c>
      <c r="M42" s="358">
        <f>VLOOKUP($A42,[0]!Data,292,FALSE)</f>
        <v>5078</v>
      </c>
      <c r="N42" s="358">
        <f>VLOOKUP($A42,[0]!Data,281,FALSE)</f>
        <v>403328</v>
      </c>
      <c r="O42" s="490">
        <f>N42/'Table 1'!D42</f>
        <v>0.38282939978833369</v>
      </c>
      <c r="P42" s="358">
        <f>VLOOKUP($A42,[0]!Data,303,FALSE)</f>
        <v>0</v>
      </c>
      <c r="Q42" s="360">
        <f>VLOOKUP($A42,[0]!Data,304,FALSE)</f>
        <v>0</v>
      </c>
    </row>
    <row r="43" spans="1:17" x14ac:dyDescent="0.25">
      <c r="A43" s="40" t="s">
        <v>789</v>
      </c>
      <c r="B43" s="40" t="s">
        <v>1960</v>
      </c>
      <c r="C43" s="358">
        <f>VLOOKUP($A43,[0]!Data,266,FALSE)</f>
        <v>679</v>
      </c>
      <c r="D43" s="358">
        <f>VLOOKUP($A43,[0]!Data,267,FALSE)</f>
        <v>72</v>
      </c>
      <c r="E43" s="358">
        <f>VLOOKUP($A43,[0]!Data,268,FALSE)</f>
        <v>1187</v>
      </c>
      <c r="F43" s="358">
        <f>VLOOKUP($A43,[0]!Data,289,FALSE)</f>
        <v>137</v>
      </c>
      <c r="G43" s="358">
        <f>VLOOKUP($A43,[0]!Data,291,FALSE)</f>
        <v>143</v>
      </c>
      <c r="H43" s="358">
        <f>VLOOKUP($A43,[0]!Data,269,FALSE)</f>
        <v>1938</v>
      </c>
      <c r="I43" s="358">
        <f>VLOOKUP($A43,[0]!Data,278,FALSE)</f>
        <v>2416</v>
      </c>
      <c r="J43" s="358">
        <f>VLOOKUP($A43,[0]!Data,279,FALSE)</f>
        <v>883</v>
      </c>
      <c r="K43" s="358">
        <f>VLOOKUP($A43,[0]!Data,280,FALSE)</f>
        <v>39569</v>
      </c>
      <c r="L43" s="358">
        <f>VLOOKUP($A43,[0]!Data,290,FALSE)</f>
        <v>422</v>
      </c>
      <c r="M43" s="358">
        <f>VLOOKUP($A43,[0]!Data,292,FALSE)</f>
        <v>702</v>
      </c>
      <c r="N43" s="358">
        <f>VLOOKUP($A43,[0]!Data,281,FALSE)</f>
        <v>42868</v>
      </c>
      <c r="O43" s="490">
        <f>N43/'Table 1'!D43</f>
        <v>0.48063684269536944</v>
      </c>
      <c r="P43" s="358">
        <f>VLOOKUP($A43,[0]!Data,303,FALSE)</f>
        <v>365</v>
      </c>
      <c r="Q43" s="360">
        <f>VLOOKUP($A43,[0]!Data,304,FALSE)</f>
        <v>9848</v>
      </c>
    </row>
    <row r="44" spans="1:17" x14ac:dyDescent="0.25">
      <c r="A44" s="40" t="s">
        <v>1456</v>
      </c>
      <c r="B44" s="40" t="s">
        <v>1961</v>
      </c>
      <c r="C44" s="358">
        <f>VLOOKUP($A44,[0]!Data,266,FALSE)</f>
        <v>862</v>
      </c>
      <c r="D44" s="358">
        <f>VLOOKUP($A44,[0]!Data,267,FALSE)</f>
        <v>112</v>
      </c>
      <c r="E44" s="358">
        <f>VLOOKUP($A44,[0]!Data,268,FALSE)</f>
        <v>2200</v>
      </c>
      <c r="F44" s="358">
        <f>VLOOKUP($A44,[0]!Data,289,FALSE)</f>
        <v>244</v>
      </c>
      <c r="G44" s="358">
        <f>VLOOKUP($A44,[0]!Data,291,FALSE)</f>
        <v>290</v>
      </c>
      <c r="H44" s="358">
        <f>VLOOKUP($A44,[0]!Data,269,FALSE)</f>
        <v>3174</v>
      </c>
      <c r="I44" s="358">
        <f>VLOOKUP($A44,[0]!Data,278,FALSE)</f>
        <v>7940</v>
      </c>
      <c r="J44" s="358">
        <f>VLOOKUP($A44,[0]!Data,279,FALSE)</f>
        <v>2430</v>
      </c>
      <c r="K44" s="358">
        <f>VLOOKUP($A44,[0]!Data,280,FALSE)</f>
        <v>59618</v>
      </c>
      <c r="L44" s="358">
        <f>VLOOKUP($A44,[0]!Data,290,FALSE)</f>
        <v>1850</v>
      </c>
      <c r="M44" s="358">
        <f>VLOOKUP($A44,[0]!Data,292,FALSE)</f>
        <v>2316</v>
      </c>
      <c r="N44" s="358">
        <f>VLOOKUP($A44,[0]!Data,281,FALSE)</f>
        <v>69988</v>
      </c>
      <c r="O44" s="490">
        <f>N44/'Table 1'!D44</f>
        <v>0.31299416836606919</v>
      </c>
      <c r="P44" s="358">
        <f>VLOOKUP($A44,[0]!Data,303,FALSE)</f>
        <v>1702</v>
      </c>
      <c r="Q44" s="360">
        <f>VLOOKUP($A44,[0]!Data,304,FALSE)</f>
        <v>31695</v>
      </c>
    </row>
    <row r="45" spans="1:17" x14ac:dyDescent="0.25">
      <c r="A45" s="40" t="s">
        <v>1489</v>
      </c>
      <c r="B45" s="40" t="s">
        <v>1962</v>
      </c>
      <c r="C45" s="358">
        <f>VLOOKUP($A45,[0]!Data,266,FALSE)</f>
        <v>303</v>
      </c>
      <c r="D45" s="358">
        <f>VLOOKUP($A45,[0]!Data,267,FALSE)</f>
        <v>111</v>
      </c>
      <c r="E45" s="358">
        <f>VLOOKUP($A45,[0]!Data,268,FALSE)</f>
        <v>1123</v>
      </c>
      <c r="F45" s="358">
        <f>VLOOKUP($A45,[0]!Data,289,FALSE)</f>
        <v>45</v>
      </c>
      <c r="G45" s="358">
        <f>VLOOKUP($A45,[0]!Data,291,FALSE)</f>
        <v>8</v>
      </c>
      <c r="H45" s="358">
        <f>VLOOKUP($A45,[0]!Data,269,FALSE)</f>
        <v>1537</v>
      </c>
      <c r="I45" s="358">
        <f>VLOOKUP($A45,[0]!Data,278,FALSE)</f>
        <v>8353</v>
      </c>
      <c r="J45" s="358">
        <f>VLOOKUP($A45,[0]!Data,279,FALSE)</f>
        <v>818</v>
      </c>
      <c r="K45" s="358">
        <f>VLOOKUP($A45,[0]!Data,280,FALSE)</f>
        <v>24454</v>
      </c>
      <c r="L45" s="358">
        <f>VLOOKUP($A45,[0]!Data,290,FALSE)</f>
        <v>23</v>
      </c>
      <c r="M45" s="358">
        <f>VLOOKUP($A45,[0]!Data,292,FALSE)</f>
        <v>66</v>
      </c>
      <c r="N45" s="358">
        <f>VLOOKUP($A45,[0]!Data,281,FALSE)</f>
        <v>33625</v>
      </c>
      <c r="O45" s="490">
        <f>N45/'Table 1'!D45</f>
        <v>0.17340161102344337</v>
      </c>
      <c r="P45" s="358">
        <f>VLOOKUP($A45,[0]!Data,303,FALSE)</f>
        <v>231</v>
      </c>
      <c r="Q45" s="360">
        <f>VLOOKUP($A45,[0]!Data,304,FALSE)</f>
        <v>3633</v>
      </c>
    </row>
    <row r="46" spans="1:17" x14ac:dyDescent="0.25">
      <c r="A46" s="40" t="s">
        <v>1501</v>
      </c>
      <c r="B46" s="40" t="s">
        <v>1516</v>
      </c>
      <c r="C46" s="358">
        <f>VLOOKUP($A46,[0]!Data,266,FALSE)</f>
        <v>114</v>
      </c>
      <c r="D46" s="358">
        <f>VLOOKUP($A46,[0]!Data,267,FALSE)</f>
        <v>15</v>
      </c>
      <c r="E46" s="358">
        <f>VLOOKUP($A46,[0]!Data,268,FALSE)</f>
        <v>407</v>
      </c>
      <c r="F46" s="358">
        <f>VLOOKUP($A46,[0]!Data,289,FALSE)</f>
        <v>4</v>
      </c>
      <c r="G46" s="358">
        <f>VLOOKUP($A46,[0]!Data,291,FALSE)</f>
        <v>35</v>
      </c>
      <c r="H46" s="358">
        <f>VLOOKUP($A46,[0]!Data,269,FALSE)</f>
        <v>536</v>
      </c>
      <c r="I46" s="358">
        <f>VLOOKUP($A46,[0]!Data,278,FALSE)</f>
        <v>986</v>
      </c>
      <c r="J46" s="358">
        <f>VLOOKUP($A46,[0]!Data,279,FALSE)</f>
        <v>82</v>
      </c>
      <c r="K46" s="358">
        <f>VLOOKUP($A46,[0]!Data,280,FALSE)</f>
        <v>9604</v>
      </c>
      <c r="L46" s="358">
        <f>VLOOKUP($A46,[0]!Data,290,FALSE)</f>
        <v>15</v>
      </c>
      <c r="M46" s="358">
        <f>VLOOKUP($A46,[0]!Data,292,FALSE)</f>
        <v>135</v>
      </c>
      <c r="N46" s="358">
        <f>VLOOKUP($A46,[0]!Data,281,FALSE)</f>
        <v>10672</v>
      </c>
      <c r="O46" s="490">
        <f>N46/'Table 1'!D46</f>
        <v>0.12680457694181391</v>
      </c>
      <c r="P46" s="358">
        <f>VLOOKUP($A46,[0]!Data,303,FALSE)</f>
        <v>4601</v>
      </c>
      <c r="Q46" s="360">
        <f>VLOOKUP($A46,[0]!Data,304,FALSE)</f>
        <v>9720</v>
      </c>
    </row>
    <row r="47" spans="1:17" x14ac:dyDescent="0.25">
      <c r="A47" s="40" t="s">
        <v>1518</v>
      </c>
      <c r="B47" s="40" t="s">
        <v>1963</v>
      </c>
      <c r="C47" s="358">
        <f>VLOOKUP($A47,[0]!Data,266,FALSE)</f>
        <v>16</v>
      </c>
      <c r="D47" s="358">
        <f>VLOOKUP($A47,[0]!Data,267,FALSE)</f>
        <v>2</v>
      </c>
      <c r="E47" s="358">
        <f>VLOOKUP($A47,[0]!Data,268,FALSE)</f>
        <v>554</v>
      </c>
      <c r="F47" s="358">
        <f>VLOOKUP($A47,[0]!Data,289,FALSE)</f>
        <v>0</v>
      </c>
      <c r="G47" s="358">
        <f>VLOOKUP($A47,[0]!Data,291,FALSE)</f>
        <v>0</v>
      </c>
      <c r="H47" s="358">
        <f>VLOOKUP($A47,[0]!Data,269,FALSE)</f>
        <v>572</v>
      </c>
      <c r="I47" s="358">
        <f>VLOOKUP($A47,[0]!Data,278,FALSE)</f>
        <v>328</v>
      </c>
      <c r="J47" s="358">
        <f>VLOOKUP($A47,[0]!Data,279,FALSE)</f>
        <v>44</v>
      </c>
      <c r="K47" s="358">
        <f>VLOOKUP($A47,[0]!Data,280,FALSE)</f>
        <v>12211</v>
      </c>
      <c r="L47" s="358">
        <f>VLOOKUP($A47,[0]!Data,290,FALSE)</f>
        <v>0</v>
      </c>
      <c r="M47" s="358">
        <f>VLOOKUP($A47,[0]!Data,292,FALSE)</f>
        <v>0</v>
      </c>
      <c r="N47" s="358">
        <f>VLOOKUP($A47,[0]!Data,281,FALSE)</f>
        <v>12583</v>
      </c>
      <c r="O47" s="490">
        <f>N47/'Table 1'!D47</f>
        <v>0.21162481710085942</v>
      </c>
      <c r="P47" s="358">
        <f>VLOOKUP($A47,[0]!Data,303,FALSE)</f>
        <v>793</v>
      </c>
      <c r="Q47" s="360">
        <f>VLOOKUP($A47,[0]!Data,304,FALSE)</f>
        <v>0</v>
      </c>
    </row>
    <row r="48" spans="1:17" x14ac:dyDescent="0.25">
      <c r="A48" s="40" t="s">
        <v>1544</v>
      </c>
      <c r="B48" s="40" t="s">
        <v>1964</v>
      </c>
      <c r="C48" s="358">
        <f>VLOOKUP($A48,[0]!Data,266,FALSE)</f>
        <v>156</v>
      </c>
      <c r="D48" s="358">
        <f>VLOOKUP($A48,[0]!Data,267,FALSE)</f>
        <v>23</v>
      </c>
      <c r="E48" s="358">
        <f>VLOOKUP($A48,[0]!Data,268,FALSE)</f>
        <v>227</v>
      </c>
      <c r="F48" s="358">
        <f>VLOOKUP($A48,[0]!Data,289,FALSE)</f>
        <v>1</v>
      </c>
      <c r="G48" s="358">
        <f>VLOOKUP($A48,[0]!Data,291,FALSE)</f>
        <v>41</v>
      </c>
      <c r="H48" s="358">
        <f>VLOOKUP($A48,[0]!Data,269,FALSE)</f>
        <v>406</v>
      </c>
      <c r="I48" s="358">
        <f>VLOOKUP($A48,[0]!Data,278,FALSE)</f>
        <v>1964</v>
      </c>
      <c r="J48" s="358">
        <f>VLOOKUP($A48,[0]!Data,279,FALSE)</f>
        <v>238</v>
      </c>
      <c r="K48" s="358">
        <f>VLOOKUP($A48,[0]!Data,280,FALSE)</f>
        <v>5556</v>
      </c>
      <c r="L48" s="358">
        <f>VLOOKUP($A48,[0]!Data,290,FALSE)</f>
        <v>1</v>
      </c>
      <c r="M48" s="358">
        <f>VLOOKUP($A48,[0]!Data,292,FALSE)</f>
        <v>170</v>
      </c>
      <c r="N48" s="358">
        <f>VLOOKUP($A48,[0]!Data,281,FALSE)</f>
        <v>7758</v>
      </c>
      <c r="O48" s="490">
        <f>N48/'Table 1'!D48</f>
        <v>0.1952778896496174</v>
      </c>
      <c r="P48" s="358">
        <f>VLOOKUP($A48,[0]!Data,303,FALSE)</f>
        <v>274</v>
      </c>
      <c r="Q48" s="360">
        <f>VLOOKUP($A48,[0]!Data,304,FALSE)</f>
        <v>3359</v>
      </c>
    </row>
    <row r="49" spans="1:17" x14ac:dyDescent="0.25">
      <c r="A49" s="40" t="s">
        <v>1727</v>
      </c>
      <c r="B49" s="40" t="s">
        <v>1965</v>
      </c>
      <c r="C49" s="358">
        <f>VLOOKUP($A49,[0]!Data,266,FALSE)</f>
        <v>184</v>
      </c>
      <c r="D49" s="358">
        <f>VLOOKUP($A49,[0]!Data,267,FALSE)</f>
        <v>10</v>
      </c>
      <c r="E49" s="358">
        <f>VLOOKUP($A49,[0]!Data,268,FALSE)</f>
        <v>952</v>
      </c>
      <c r="F49" s="358">
        <f>VLOOKUP($A49,[0]!Data,289,FALSE)</f>
        <v>0</v>
      </c>
      <c r="G49" s="358">
        <f>VLOOKUP($A49,[0]!Data,291,FALSE)</f>
        <v>75</v>
      </c>
      <c r="H49" s="358">
        <f>VLOOKUP($A49,[0]!Data,269,FALSE)</f>
        <v>1146</v>
      </c>
      <c r="I49" s="358">
        <f>VLOOKUP($A49,[0]!Data,278,FALSE)</f>
        <v>1295</v>
      </c>
      <c r="J49" s="358">
        <f>VLOOKUP($A49,[0]!Data,279,FALSE)</f>
        <v>100</v>
      </c>
      <c r="K49" s="358">
        <f>VLOOKUP($A49,[0]!Data,280,FALSE)</f>
        <v>28123</v>
      </c>
      <c r="L49" s="358">
        <f>VLOOKUP($A49,[0]!Data,290,FALSE)</f>
        <v>0</v>
      </c>
      <c r="M49" s="358">
        <f>VLOOKUP($A49,[0]!Data,292,FALSE)</f>
        <v>349</v>
      </c>
      <c r="N49" s="358">
        <f>VLOOKUP($A49,[0]!Data,281,FALSE)</f>
        <v>29518</v>
      </c>
      <c r="O49" s="490">
        <f>N49/'Table 1'!D49</f>
        <v>0.17240311888561166</v>
      </c>
      <c r="P49" s="358">
        <f>VLOOKUP($A49,[0]!Data,303,FALSE)</f>
        <v>2939</v>
      </c>
      <c r="Q49" s="360">
        <f>VLOOKUP($A49,[0]!Data,304,FALSE)</f>
        <v>16916</v>
      </c>
    </row>
    <row r="50" spans="1:17" x14ac:dyDescent="0.25">
      <c r="A50" s="40" t="s">
        <v>1573</v>
      </c>
      <c r="B50" s="40" t="s">
        <v>1966</v>
      </c>
      <c r="C50" s="358">
        <f>VLOOKUP($A50,[0]!Data,266,FALSE)</f>
        <v>203</v>
      </c>
      <c r="D50" s="358">
        <f>VLOOKUP($A50,[0]!Data,267,FALSE)</f>
        <v>99</v>
      </c>
      <c r="E50" s="358">
        <f>VLOOKUP($A50,[0]!Data,268,FALSE)</f>
        <v>222</v>
      </c>
      <c r="F50" s="358">
        <f>VLOOKUP($A50,[0]!Data,289,FALSE)</f>
        <v>2</v>
      </c>
      <c r="G50" s="358">
        <f>VLOOKUP($A50,[0]!Data,291,FALSE)</f>
        <v>16</v>
      </c>
      <c r="H50" s="358">
        <f>VLOOKUP($A50,[0]!Data,269,FALSE)</f>
        <v>524</v>
      </c>
      <c r="I50" s="358">
        <f>VLOOKUP($A50,[0]!Data,278,FALSE)</f>
        <v>2104</v>
      </c>
      <c r="J50" s="358">
        <f>VLOOKUP($A50,[0]!Data,279,FALSE)</f>
        <v>852</v>
      </c>
      <c r="K50" s="358">
        <f>VLOOKUP($A50,[0]!Data,280,FALSE)</f>
        <v>4308</v>
      </c>
      <c r="L50" s="358">
        <f>VLOOKUP($A50,[0]!Data,290,FALSE)</f>
        <v>13</v>
      </c>
      <c r="M50" s="358">
        <f>VLOOKUP($A50,[0]!Data,292,FALSE)</f>
        <v>82</v>
      </c>
      <c r="N50" s="358">
        <f>VLOOKUP($A50,[0]!Data,281,FALSE)</f>
        <v>7264</v>
      </c>
      <c r="O50" s="490">
        <f>N50/'Table 1'!D50</f>
        <v>0.34541131716595341</v>
      </c>
      <c r="P50" s="358">
        <f>VLOOKUP($A50,[0]!Data,303,FALSE)</f>
        <v>266</v>
      </c>
      <c r="Q50" s="360">
        <f>VLOOKUP($A50,[0]!Data,304,FALSE)</f>
        <v>4197</v>
      </c>
    </row>
    <row r="51" spans="1:17" x14ac:dyDescent="0.25">
      <c r="A51" s="40" t="s">
        <v>1597</v>
      </c>
      <c r="B51" s="40" t="s">
        <v>1967</v>
      </c>
      <c r="C51" s="358">
        <f>VLOOKUP($A51,[0]!Data,266,FALSE)</f>
        <v>208</v>
      </c>
      <c r="D51" s="358">
        <f>VLOOKUP($A51,[0]!Data,267,FALSE)</f>
        <v>95</v>
      </c>
      <c r="E51" s="358">
        <f>VLOOKUP($A51,[0]!Data,268,FALSE)</f>
        <v>1593</v>
      </c>
      <c r="F51" s="358">
        <f>VLOOKUP($A51,[0]!Data,289,FALSE)</f>
        <v>1</v>
      </c>
      <c r="G51" s="358">
        <f>VLOOKUP($A51,[0]!Data,291,FALSE)</f>
        <v>22</v>
      </c>
      <c r="H51" s="358">
        <f>VLOOKUP($A51,[0]!Data,269,FALSE)</f>
        <v>1896</v>
      </c>
      <c r="I51" s="358">
        <f>VLOOKUP($A51,[0]!Data,278,FALSE)</f>
        <v>4369</v>
      </c>
      <c r="J51" s="358">
        <f>VLOOKUP($A51,[0]!Data,279,FALSE)</f>
        <v>753</v>
      </c>
      <c r="K51" s="358">
        <f>VLOOKUP($A51,[0]!Data,280,FALSE)</f>
        <v>42195</v>
      </c>
      <c r="L51" s="358">
        <f>VLOOKUP($A51,[0]!Data,290,FALSE)</f>
        <v>10</v>
      </c>
      <c r="M51" s="358">
        <f>VLOOKUP($A51,[0]!Data,292,FALSE)</f>
        <v>194</v>
      </c>
      <c r="N51" s="358">
        <f>VLOOKUP($A51,[0]!Data,281,FALSE)</f>
        <v>47317</v>
      </c>
      <c r="O51" s="490">
        <f>N51/'Table 1'!D51</f>
        <v>0.32927397860836044</v>
      </c>
      <c r="P51" s="358">
        <f>VLOOKUP($A51,[0]!Data,303,FALSE)</f>
        <v>1646</v>
      </c>
      <c r="Q51" s="360">
        <f>VLOOKUP($A51,[0]!Data,304,FALSE)</f>
        <v>7010</v>
      </c>
    </row>
    <row r="52" spans="1:17" x14ac:dyDescent="0.25">
      <c r="A52" s="40" t="s">
        <v>1625</v>
      </c>
      <c r="B52" s="40" t="s">
        <v>1968</v>
      </c>
      <c r="C52" s="358">
        <f>VLOOKUP($A52,[0]!Data,266,FALSE)</f>
        <v>130</v>
      </c>
      <c r="D52" s="358">
        <f>VLOOKUP($A52,[0]!Data,267,FALSE)</f>
        <v>16</v>
      </c>
      <c r="E52" s="358">
        <f>VLOOKUP($A52,[0]!Data,268,FALSE)</f>
        <v>254</v>
      </c>
      <c r="F52" s="358">
        <f>VLOOKUP($A52,[0]!Data,289,FALSE)</f>
        <v>47</v>
      </c>
      <c r="G52" s="358">
        <f>VLOOKUP($A52,[0]!Data,291,FALSE)</f>
        <v>59</v>
      </c>
      <c r="H52" s="358">
        <f>VLOOKUP($A52,[0]!Data,269,FALSE)</f>
        <v>400</v>
      </c>
      <c r="I52" s="358">
        <f>VLOOKUP($A52,[0]!Data,278,FALSE)</f>
        <v>1062</v>
      </c>
      <c r="J52" s="358">
        <f>VLOOKUP($A52,[0]!Data,279,FALSE)</f>
        <v>769</v>
      </c>
      <c r="K52" s="358">
        <f>VLOOKUP($A52,[0]!Data,280,FALSE)</f>
        <v>5726</v>
      </c>
      <c r="L52" s="358">
        <f>VLOOKUP($A52,[0]!Data,290,FALSE)</f>
        <v>880</v>
      </c>
      <c r="M52" s="358">
        <f>VLOOKUP($A52,[0]!Data,292,FALSE)</f>
        <v>182</v>
      </c>
      <c r="N52" s="358">
        <f>VLOOKUP($A52,[0]!Data,281,FALSE)</f>
        <v>7557</v>
      </c>
      <c r="O52" s="490">
        <f>N52/'Table 1'!D52</f>
        <v>5.6966462380424701E-2</v>
      </c>
      <c r="P52" s="358">
        <f>VLOOKUP($A52,[0]!Data,303,FALSE)</f>
        <v>140</v>
      </c>
      <c r="Q52" s="360">
        <f>VLOOKUP($A52,[0]!Data,304,FALSE)</f>
        <v>3826</v>
      </c>
    </row>
    <row r="53" spans="1:17" x14ac:dyDescent="0.25">
      <c r="A53" s="40" t="s">
        <v>1638</v>
      </c>
      <c r="B53" s="40" t="s">
        <v>1969</v>
      </c>
      <c r="C53" s="358">
        <f>VLOOKUP($A53,[0]!Data,266,FALSE)</f>
        <v>433</v>
      </c>
      <c r="D53" s="358">
        <f>VLOOKUP($A53,[0]!Data,267,FALSE)</f>
        <v>66</v>
      </c>
      <c r="E53" s="358">
        <f>VLOOKUP($A53,[0]!Data,268,FALSE)</f>
        <v>461</v>
      </c>
      <c r="F53" s="358">
        <f>VLOOKUP($A53,[0]!Data,289,FALSE)</f>
        <v>134</v>
      </c>
      <c r="G53" s="358">
        <f>VLOOKUP($A53,[0]!Data,291,FALSE)</f>
        <v>120</v>
      </c>
      <c r="H53" s="358">
        <f>VLOOKUP($A53,[0]!Data,269,FALSE)</f>
        <v>960</v>
      </c>
      <c r="I53" s="358">
        <f>VLOOKUP($A53,[0]!Data,278,FALSE)</f>
        <v>9062</v>
      </c>
      <c r="J53" s="358">
        <f>VLOOKUP($A53,[0]!Data,279,FALSE)</f>
        <v>548</v>
      </c>
      <c r="K53" s="358">
        <f>VLOOKUP($A53,[0]!Data,280,FALSE)</f>
        <v>11264</v>
      </c>
      <c r="L53" s="358">
        <f>VLOOKUP($A53,[0]!Data,290,FALSE)</f>
        <v>390</v>
      </c>
      <c r="M53" s="358">
        <f>VLOOKUP($A53,[0]!Data,292,FALSE)</f>
        <v>356</v>
      </c>
      <c r="N53" s="358">
        <f>VLOOKUP($A53,[0]!Data,281,FALSE)</f>
        <v>20874</v>
      </c>
      <c r="O53" s="490">
        <f>N53/'Table 1'!D53</f>
        <v>0.22716044008662437</v>
      </c>
      <c r="P53" s="358">
        <f>VLOOKUP($A53,[0]!Data,303,FALSE)</f>
        <v>1455</v>
      </c>
      <c r="Q53" s="360">
        <f>VLOOKUP($A53,[0]!Data,304,FALSE)</f>
        <v>13425</v>
      </c>
    </row>
    <row r="54" spans="1:17" x14ac:dyDescent="0.25">
      <c r="A54" s="40" t="s">
        <v>1655</v>
      </c>
      <c r="B54" s="40" t="s">
        <v>1970</v>
      </c>
      <c r="C54" s="358">
        <f>VLOOKUP($A54,[0]!Data,266,FALSE)</f>
        <v>151</v>
      </c>
      <c r="D54" s="358">
        <f>VLOOKUP($A54,[0]!Data,267,FALSE)</f>
        <v>103</v>
      </c>
      <c r="E54" s="358">
        <f>VLOOKUP($A54,[0]!Data,268,FALSE)</f>
        <v>1084</v>
      </c>
      <c r="F54" s="358">
        <f>VLOOKUP($A54,[0]!Data,289,FALSE)</f>
        <v>5</v>
      </c>
      <c r="G54" s="358">
        <f>VLOOKUP($A54,[0]!Data,291,FALSE)</f>
        <v>8</v>
      </c>
      <c r="H54" s="358">
        <f>VLOOKUP($A54,[0]!Data,269,FALSE)</f>
        <v>1338</v>
      </c>
      <c r="I54" s="358">
        <f>VLOOKUP($A54,[0]!Data,278,FALSE)</f>
        <v>3819</v>
      </c>
      <c r="J54" s="358">
        <f>VLOOKUP($A54,[0]!Data,279,FALSE)</f>
        <v>1162</v>
      </c>
      <c r="K54" s="358">
        <f>VLOOKUP($A54,[0]!Data,280,FALSE)</f>
        <v>32622</v>
      </c>
      <c r="L54" s="358">
        <f>VLOOKUP($A54,[0]!Data,290,FALSE)</f>
        <v>15</v>
      </c>
      <c r="M54" s="358">
        <f>VLOOKUP($A54,[0]!Data,292,FALSE)</f>
        <v>42</v>
      </c>
      <c r="N54" s="358">
        <f>VLOOKUP($A54,[0]!Data,281,FALSE)</f>
        <v>37603</v>
      </c>
      <c r="O54" s="490">
        <f>N54/'Table 1'!D54</f>
        <v>0.26674469745335888</v>
      </c>
      <c r="P54" s="358">
        <f>VLOOKUP($A54,[0]!Data,303,FALSE)</f>
        <v>661</v>
      </c>
      <c r="Q54" s="360">
        <f>VLOOKUP($A54,[0]!Data,304,FALSE)</f>
        <v>25580</v>
      </c>
    </row>
    <row r="55" spans="1:17" x14ac:dyDescent="0.25">
      <c r="A55" s="40" t="s">
        <v>1671</v>
      </c>
      <c r="B55" s="40" t="s">
        <v>1971</v>
      </c>
      <c r="C55" s="358">
        <f>VLOOKUP($A55,[0]!Data,266,FALSE)</f>
        <v>132</v>
      </c>
      <c r="D55" s="358">
        <f>VLOOKUP($A55,[0]!Data,267,FALSE)</f>
        <v>29</v>
      </c>
      <c r="E55" s="358">
        <f>VLOOKUP($A55,[0]!Data,268,FALSE)</f>
        <v>172</v>
      </c>
      <c r="F55" s="358">
        <f>VLOOKUP($A55,[0]!Data,289,FALSE)</f>
        <v>9</v>
      </c>
      <c r="G55" s="358">
        <f>VLOOKUP($A55,[0]!Data,291,FALSE)</f>
        <v>55</v>
      </c>
      <c r="H55" s="358">
        <f>VLOOKUP($A55,[0]!Data,269,FALSE)</f>
        <v>333</v>
      </c>
      <c r="I55" s="358">
        <f>VLOOKUP($A55,[0]!Data,278,FALSE)</f>
        <v>2012</v>
      </c>
      <c r="J55" s="358">
        <f>VLOOKUP($A55,[0]!Data,279,FALSE)</f>
        <v>474</v>
      </c>
      <c r="K55" s="358">
        <f>VLOOKUP($A55,[0]!Data,280,FALSE)</f>
        <v>3587</v>
      </c>
      <c r="L55" s="358">
        <f>VLOOKUP($A55,[0]!Data,290,FALSE)</f>
        <v>134</v>
      </c>
      <c r="M55" s="358">
        <f>VLOOKUP($A55,[0]!Data,292,FALSE)</f>
        <v>686</v>
      </c>
      <c r="N55" s="358">
        <f>VLOOKUP($A55,[0]!Data,281,FALSE)</f>
        <v>6073</v>
      </c>
      <c r="O55" s="490">
        <f>N55/'Table 1'!D55</f>
        <v>8.9700604109123672E-2</v>
      </c>
      <c r="P55" s="358">
        <f>VLOOKUP($A55,[0]!Data,303,FALSE)</f>
        <v>93</v>
      </c>
      <c r="Q55" s="360">
        <f>VLOOKUP($A55,[0]!Data,304,FALSE)</f>
        <v>3116</v>
      </c>
    </row>
    <row r="56" spans="1:17" x14ac:dyDescent="0.25">
      <c r="A56" s="40" t="s">
        <v>1683</v>
      </c>
      <c r="B56" s="40" t="s">
        <v>1972</v>
      </c>
      <c r="C56" s="358">
        <f>VLOOKUP($A56,[0]!Data,266,FALSE)</f>
        <v>0</v>
      </c>
      <c r="D56" s="358">
        <f>VLOOKUP($A56,[0]!Data,267,FALSE)</f>
        <v>0</v>
      </c>
      <c r="E56" s="358">
        <f>VLOOKUP($A56,[0]!Data,268,FALSE)</f>
        <v>149</v>
      </c>
      <c r="F56" s="358">
        <f>VLOOKUP($A56,[0]!Data,289,FALSE)</f>
        <v>0</v>
      </c>
      <c r="G56" s="358">
        <f>VLOOKUP($A56,[0]!Data,291,FALSE)</f>
        <v>0</v>
      </c>
      <c r="H56" s="358">
        <f>VLOOKUP($A56,[0]!Data,269,FALSE)</f>
        <v>149</v>
      </c>
      <c r="I56" s="358">
        <f>VLOOKUP($A56,[0]!Data,278,FALSE)</f>
        <v>0</v>
      </c>
      <c r="J56" s="358">
        <f>VLOOKUP($A56,[0]!Data,279,FALSE)</f>
        <v>0</v>
      </c>
      <c r="K56" s="358">
        <f>VLOOKUP($A56,[0]!Data,280,FALSE)</f>
        <v>1366</v>
      </c>
      <c r="L56" s="358">
        <f>VLOOKUP($A56,[0]!Data,290,FALSE)</f>
        <v>0</v>
      </c>
      <c r="M56" s="358">
        <f>VLOOKUP($A56,[0]!Data,292,FALSE)</f>
        <v>0</v>
      </c>
      <c r="N56" s="358">
        <f>VLOOKUP($A56,[0]!Data,281,FALSE)</f>
        <v>1366</v>
      </c>
      <c r="O56" s="490">
        <f>N56/'Table 1'!D56</f>
        <v>2.1512149797634609E-2</v>
      </c>
      <c r="P56" s="358">
        <f>VLOOKUP($A56,[0]!Data,303,FALSE)</f>
        <v>0</v>
      </c>
      <c r="Q56" s="360">
        <f>VLOOKUP($A56,[0]!Data,304,FALSE)</f>
        <v>0</v>
      </c>
    </row>
    <row r="57" spans="1:17" x14ac:dyDescent="0.25">
      <c r="A57" s="40" t="s">
        <v>1714</v>
      </c>
      <c r="B57" s="40" t="s">
        <v>1973</v>
      </c>
      <c r="C57" s="358">
        <f>VLOOKUP($A57,[0]!Data,266,FALSE)</f>
        <v>30</v>
      </c>
      <c r="D57" s="358">
        <f>VLOOKUP($A57,[0]!Data,267,FALSE)</f>
        <v>15</v>
      </c>
      <c r="E57" s="358">
        <f>VLOOKUP($A57,[0]!Data,268,FALSE)</f>
        <v>105</v>
      </c>
      <c r="F57" s="358">
        <f>VLOOKUP($A57,[0]!Data,289,FALSE)</f>
        <v>0</v>
      </c>
      <c r="G57" s="358">
        <f>VLOOKUP($A57,[0]!Data,291,FALSE)</f>
        <v>0</v>
      </c>
      <c r="H57" s="358">
        <f>VLOOKUP($A57,[0]!Data,269,FALSE)</f>
        <v>150</v>
      </c>
      <c r="I57" s="358">
        <f>VLOOKUP($A57,[0]!Data,278,FALSE)</f>
        <v>1734</v>
      </c>
      <c r="J57" s="358">
        <f>VLOOKUP($A57,[0]!Data,279,FALSE)</f>
        <v>388</v>
      </c>
      <c r="K57" s="358">
        <f>VLOOKUP($A57,[0]!Data,280,FALSE)</f>
        <v>2962</v>
      </c>
      <c r="L57" s="358">
        <f>VLOOKUP($A57,[0]!Data,290,FALSE)</f>
        <v>0</v>
      </c>
      <c r="M57" s="358">
        <f>VLOOKUP($A57,[0]!Data,292,FALSE)</f>
        <v>0</v>
      </c>
      <c r="N57" s="358">
        <f>VLOOKUP($A57,[0]!Data,281,FALSE)</f>
        <v>5084</v>
      </c>
      <c r="O57" s="490">
        <f>N57/'Table 1'!D57</f>
        <v>0.1420548213138115</v>
      </c>
      <c r="P57" s="358">
        <f>VLOOKUP($A57,[0]!Data,303,FALSE)</f>
        <v>189</v>
      </c>
      <c r="Q57" s="360">
        <f>VLOOKUP($A57,[0]!Data,304,FALSE)</f>
        <v>2268</v>
      </c>
    </row>
    <row r="58" spans="1:17" x14ac:dyDescent="0.25">
      <c r="A58" s="40" t="s">
        <v>1756</v>
      </c>
      <c r="B58" s="40" t="s">
        <v>1974</v>
      </c>
      <c r="C58" s="358">
        <f>VLOOKUP($A58,[0]!Data,266,FALSE)</f>
        <v>86</v>
      </c>
      <c r="D58" s="358">
        <f>VLOOKUP($A58,[0]!Data,267,FALSE)</f>
        <v>0</v>
      </c>
      <c r="E58" s="358">
        <f>VLOOKUP($A58,[0]!Data,268,FALSE)</f>
        <v>457</v>
      </c>
      <c r="F58" s="358">
        <f>VLOOKUP($A58,[0]!Data,289,FALSE)</f>
        <v>0</v>
      </c>
      <c r="G58" s="358">
        <f>VLOOKUP($A58,[0]!Data,291,FALSE)</f>
        <v>34</v>
      </c>
      <c r="H58" s="358">
        <f>VLOOKUP($A58,[0]!Data,269,FALSE)</f>
        <v>543</v>
      </c>
      <c r="I58" s="358">
        <f>VLOOKUP($A58,[0]!Data,278,FALSE)</f>
        <v>638</v>
      </c>
      <c r="J58" s="358">
        <f>VLOOKUP($A58,[0]!Data,279,FALSE)</f>
        <v>0</v>
      </c>
      <c r="K58" s="358">
        <f>VLOOKUP($A58,[0]!Data,280,FALSE)</f>
        <v>11500</v>
      </c>
      <c r="L58" s="358">
        <f>VLOOKUP($A58,[0]!Data,290,FALSE)</f>
        <v>0</v>
      </c>
      <c r="M58" s="358">
        <f>VLOOKUP($A58,[0]!Data,292,FALSE)</f>
        <v>43</v>
      </c>
      <c r="N58" s="358">
        <f>VLOOKUP($A58,[0]!Data,281,FALSE)</f>
        <v>12138</v>
      </c>
      <c r="O58" s="490">
        <f>N58/'Table 1'!D58</f>
        <v>0.19656361840294084</v>
      </c>
      <c r="P58" s="358">
        <f>VLOOKUP($A58,[0]!Data,303,FALSE)</f>
        <v>73</v>
      </c>
      <c r="Q58" s="360">
        <f>VLOOKUP($A58,[0]!Data,304,FALSE)</f>
        <v>1405</v>
      </c>
    </row>
    <row r="59" spans="1:17" x14ac:dyDescent="0.25">
      <c r="A59" s="40" t="s">
        <v>1768</v>
      </c>
      <c r="B59" s="40" t="s">
        <v>1975</v>
      </c>
      <c r="C59" s="358">
        <f>VLOOKUP($A59,[0]!Data,266,FALSE)</f>
        <v>118</v>
      </c>
      <c r="D59" s="358">
        <f>VLOOKUP($A59,[0]!Data,267,FALSE)</f>
        <v>61</v>
      </c>
      <c r="E59" s="358">
        <f>VLOOKUP($A59,[0]!Data,268,FALSE)</f>
        <v>297</v>
      </c>
      <c r="F59" s="358">
        <f>VLOOKUP($A59,[0]!Data,289,FALSE)</f>
        <v>0</v>
      </c>
      <c r="G59" s="358">
        <f>VLOOKUP($A59,[0]!Data,291,FALSE)</f>
        <v>38</v>
      </c>
      <c r="H59" s="358">
        <f>VLOOKUP($A59,[0]!Data,269,FALSE)</f>
        <v>476</v>
      </c>
      <c r="I59" s="358">
        <f>VLOOKUP($A59,[0]!Data,278,FALSE)</f>
        <v>7236</v>
      </c>
      <c r="J59" s="358">
        <f>VLOOKUP($A59,[0]!Data,279,FALSE)</f>
        <v>979</v>
      </c>
      <c r="K59" s="358">
        <f>VLOOKUP($A59,[0]!Data,280,FALSE)</f>
        <v>10046</v>
      </c>
      <c r="L59" s="358">
        <f>VLOOKUP($A59,[0]!Data,290,FALSE)</f>
        <v>0</v>
      </c>
      <c r="M59" s="358">
        <f>VLOOKUP($A59,[0]!Data,292,FALSE)</f>
        <v>437</v>
      </c>
      <c r="N59" s="358">
        <f>VLOOKUP($A59,[0]!Data,281,FALSE)</f>
        <v>18261</v>
      </c>
      <c r="O59" s="490">
        <f>N59/'Table 1'!D59</f>
        <v>0.53490143237939014</v>
      </c>
      <c r="P59" s="358">
        <f>VLOOKUP($A59,[0]!Data,303,FALSE)</f>
        <v>849</v>
      </c>
      <c r="Q59" s="360">
        <f>VLOOKUP($A59,[0]!Data,304,FALSE)</f>
        <v>6302</v>
      </c>
    </row>
    <row r="60" spans="1:17" x14ac:dyDescent="0.25">
      <c r="A60" s="40" t="s">
        <v>1784</v>
      </c>
      <c r="B60" s="40" t="s">
        <v>1976</v>
      </c>
      <c r="C60" s="358">
        <f>VLOOKUP($A60,[0]!Data,266,FALSE)</f>
        <v>387</v>
      </c>
      <c r="D60" s="358">
        <f>VLOOKUP($A60,[0]!Data,267,FALSE)</f>
        <v>112</v>
      </c>
      <c r="E60" s="358">
        <f>VLOOKUP($A60,[0]!Data,268,FALSE)</f>
        <v>1198</v>
      </c>
      <c r="F60" s="358">
        <f>VLOOKUP($A60,[0]!Data,289,FALSE)</f>
        <v>62</v>
      </c>
      <c r="G60" s="358">
        <f>VLOOKUP($A60,[0]!Data,291,FALSE)</f>
        <v>139</v>
      </c>
      <c r="H60" s="358">
        <f>VLOOKUP($A60,[0]!Data,269,FALSE)</f>
        <v>1697</v>
      </c>
      <c r="I60" s="358">
        <f>VLOOKUP($A60,[0]!Data,278,FALSE)</f>
        <v>2679</v>
      </c>
      <c r="J60" s="358">
        <f>VLOOKUP($A60,[0]!Data,279,FALSE)</f>
        <v>890</v>
      </c>
      <c r="K60" s="358">
        <f>VLOOKUP($A60,[0]!Data,280,FALSE)</f>
        <v>31270</v>
      </c>
      <c r="L60" s="358">
        <f>VLOOKUP($A60,[0]!Data,290,FALSE)</f>
        <v>72</v>
      </c>
      <c r="M60" s="358">
        <f>VLOOKUP($A60,[0]!Data,292,FALSE)</f>
        <v>316</v>
      </c>
      <c r="N60" s="358">
        <f>VLOOKUP($A60,[0]!Data,281,FALSE)</f>
        <v>34839</v>
      </c>
      <c r="O60" s="490">
        <f>N60/'Table 1'!D60</f>
        <v>0.1555902909586227</v>
      </c>
      <c r="P60" s="358">
        <f>VLOOKUP($A60,[0]!Data,303,FALSE)</f>
        <v>589</v>
      </c>
      <c r="Q60" s="360">
        <f>VLOOKUP($A60,[0]!Data,304,FALSE)</f>
        <v>24812</v>
      </c>
    </row>
    <row r="61" spans="1:17" x14ac:dyDescent="0.25">
      <c r="A61" s="40" t="s">
        <v>1531</v>
      </c>
      <c r="B61" s="40" t="s">
        <v>1977</v>
      </c>
      <c r="C61" s="358">
        <f>VLOOKUP($A61,[0]!Data,266,FALSE)</f>
        <v>30</v>
      </c>
      <c r="D61" s="358">
        <f>VLOOKUP($A61,[0]!Data,267,FALSE)</f>
        <v>40</v>
      </c>
      <c r="E61" s="358">
        <f>VLOOKUP($A61,[0]!Data,268,FALSE)</f>
        <v>100</v>
      </c>
      <c r="F61" s="358">
        <f>VLOOKUP($A61,[0]!Data,289,FALSE)</f>
        <v>5</v>
      </c>
      <c r="G61" s="358">
        <f>VLOOKUP($A61,[0]!Data,291,FALSE)</f>
        <v>31</v>
      </c>
      <c r="H61" s="358">
        <f>VLOOKUP($A61,[0]!Data,269,FALSE)</f>
        <v>170</v>
      </c>
      <c r="I61" s="358">
        <f>VLOOKUP($A61,[0]!Data,278,FALSE)</f>
        <v>900</v>
      </c>
      <c r="J61" s="358">
        <f>VLOOKUP($A61,[0]!Data,279,FALSE)</f>
        <v>150</v>
      </c>
      <c r="K61" s="358">
        <f>VLOOKUP($A61,[0]!Data,280,FALSE)</f>
        <v>2150</v>
      </c>
      <c r="L61" s="358">
        <f>VLOOKUP($A61,[0]!Data,290,FALSE)</f>
        <v>30</v>
      </c>
      <c r="M61" s="358">
        <f>VLOOKUP($A61,[0]!Data,292,FALSE)</f>
        <v>31</v>
      </c>
      <c r="N61" s="358">
        <f>VLOOKUP($A61,[0]!Data,281,FALSE)</f>
        <v>3200</v>
      </c>
      <c r="O61" s="490">
        <f>N61/'Table 1'!D61</f>
        <v>7.1198131049059962E-2</v>
      </c>
      <c r="P61" s="358">
        <f>VLOOKUP($A61,[0]!Data,303,FALSE)</f>
        <v>211</v>
      </c>
      <c r="Q61" s="360">
        <f>VLOOKUP($A61,[0]!Data,304,FALSE)</f>
        <v>7500</v>
      </c>
    </row>
    <row r="62" spans="1:17" x14ac:dyDescent="0.25">
      <c r="A62" s="40" t="s">
        <v>1799</v>
      </c>
      <c r="B62" s="40" t="s">
        <v>1978</v>
      </c>
      <c r="C62" s="358">
        <f>VLOOKUP($A62,[0]!Data,266,FALSE)</f>
        <v>1034</v>
      </c>
      <c r="D62" s="358">
        <f>VLOOKUP($A62,[0]!Data,267,FALSE)</f>
        <v>479</v>
      </c>
      <c r="E62" s="358">
        <f>VLOOKUP($A62,[0]!Data,268,FALSE)</f>
        <v>9365</v>
      </c>
      <c r="F62" s="358">
        <f>VLOOKUP($A62,[0]!Data,289,FALSE)</f>
        <v>94</v>
      </c>
      <c r="G62" s="358">
        <f>VLOOKUP($A62,[0]!Data,291,FALSE)</f>
        <v>15</v>
      </c>
      <c r="H62" s="358">
        <f>VLOOKUP($A62,[0]!Data,269,FALSE)</f>
        <v>10878</v>
      </c>
      <c r="I62" s="358">
        <f>VLOOKUP($A62,[0]!Data,278,FALSE)</f>
        <v>22194</v>
      </c>
      <c r="J62" s="358">
        <f>VLOOKUP($A62,[0]!Data,279,FALSE)</f>
        <v>16613</v>
      </c>
      <c r="K62" s="358">
        <f>VLOOKUP($A62,[0]!Data,280,FALSE)</f>
        <v>358514</v>
      </c>
      <c r="L62" s="358">
        <f>VLOOKUP($A62,[0]!Data,290,FALSE)</f>
        <v>1319</v>
      </c>
      <c r="M62" s="358">
        <f>VLOOKUP($A62,[0]!Data,292,FALSE)</f>
        <v>213</v>
      </c>
      <c r="N62" s="358">
        <f>VLOOKUP($A62,[0]!Data,281,FALSE)</f>
        <v>397321</v>
      </c>
      <c r="O62" s="490">
        <f>N62/'Table 1'!D62</f>
        <v>0.38697031793585185</v>
      </c>
      <c r="P62" s="358">
        <f>VLOOKUP($A62,[0]!Data,303,FALSE)</f>
        <v>14557</v>
      </c>
      <c r="Q62" s="360">
        <f>VLOOKUP($A62,[0]!Data,304,FALSE)</f>
        <v>62633</v>
      </c>
    </row>
    <row r="63" spans="1:17" x14ac:dyDescent="0.25">
      <c r="A63" s="40" t="s">
        <v>1814</v>
      </c>
      <c r="B63" s="40" t="s">
        <v>1979</v>
      </c>
      <c r="C63" s="358">
        <f>VLOOKUP($A63,[0]!Data,266,FALSE)</f>
        <v>131</v>
      </c>
      <c r="D63" s="358">
        <f>VLOOKUP($A63,[0]!Data,267,FALSE)</f>
        <v>18</v>
      </c>
      <c r="E63" s="358">
        <f>VLOOKUP($A63,[0]!Data,268,FALSE)</f>
        <v>82</v>
      </c>
      <c r="F63" s="358">
        <f>VLOOKUP($A63,[0]!Data,289,FALSE)</f>
        <v>12</v>
      </c>
      <c r="G63" s="358">
        <f>VLOOKUP($A63,[0]!Data,291,FALSE)</f>
        <v>24</v>
      </c>
      <c r="H63" s="358">
        <f>VLOOKUP($A63,[0]!Data,269,FALSE)</f>
        <v>231</v>
      </c>
      <c r="I63" s="358">
        <f>VLOOKUP($A63,[0]!Data,278,FALSE)</f>
        <v>1301</v>
      </c>
      <c r="J63" s="358">
        <f>VLOOKUP($A63,[0]!Data,279,FALSE)</f>
        <v>378</v>
      </c>
      <c r="K63" s="358">
        <f>VLOOKUP($A63,[0]!Data,280,FALSE)</f>
        <v>1516</v>
      </c>
      <c r="L63" s="358">
        <f>VLOOKUP($A63,[0]!Data,290,FALSE)</f>
        <v>36</v>
      </c>
      <c r="M63" s="358">
        <f>VLOOKUP($A63,[0]!Data,292,FALSE)</f>
        <v>63</v>
      </c>
      <c r="N63" s="358">
        <f>VLOOKUP($A63,[0]!Data,281,FALSE)</f>
        <v>3195</v>
      </c>
      <c r="O63" s="490">
        <f>N63/'Table 1'!D63</f>
        <v>0.15878932458625317</v>
      </c>
      <c r="P63" s="358">
        <f>VLOOKUP($A63,[0]!Data,303,FALSE)</f>
        <v>312</v>
      </c>
      <c r="Q63" s="360">
        <f>VLOOKUP($A63,[0]!Data,304,FALSE)</f>
        <v>5720</v>
      </c>
    </row>
    <row r="64" spans="1:17" x14ac:dyDescent="0.25">
      <c r="A64" s="40" t="s">
        <v>1826</v>
      </c>
      <c r="B64" s="40" t="s">
        <v>1980</v>
      </c>
      <c r="C64" s="358">
        <f>VLOOKUP($A64,[0]!Data,266,FALSE)</f>
        <v>280</v>
      </c>
      <c r="D64" s="358">
        <f>VLOOKUP($A64,[0]!Data,267,FALSE)</f>
        <v>108</v>
      </c>
      <c r="E64" s="358">
        <f>VLOOKUP($A64,[0]!Data,268,FALSE)</f>
        <v>671</v>
      </c>
      <c r="F64" s="358">
        <f>VLOOKUP($A64,[0]!Data,289,FALSE)</f>
        <v>10</v>
      </c>
      <c r="G64" s="358">
        <f>VLOOKUP($A64,[0]!Data,291,FALSE)</f>
        <v>59</v>
      </c>
      <c r="H64" s="358">
        <f>VLOOKUP($A64,[0]!Data,269,FALSE)</f>
        <v>1059</v>
      </c>
      <c r="I64" s="358">
        <f>VLOOKUP($A64,[0]!Data,278,FALSE)</f>
        <v>4019</v>
      </c>
      <c r="J64" s="358">
        <f>VLOOKUP($A64,[0]!Data,279,FALSE)</f>
        <v>2993</v>
      </c>
      <c r="K64" s="358">
        <f>VLOOKUP($A64,[0]!Data,280,FALSE)</f>
        <v>17528</v>
      </c>
      <c r="L64" s="358">
        <f>VLOOKUP($A64,[0]!Data,290,FALSE)</f>
        <v>174</v>
      </c>
      <c r="M64" s="358">
        <f>VLOOKUP($A64,[0]!Data,292,FALSE)</f>
        <v>341</v>
      </c>
      <c r="N64" s="358">
        <f>VLOOKUP($A64,[0]!Data,281,FALSE)</f>
        <v>24540</v>
      </c>
      <c r="O64" s="490">
        <f>N64/'Table 1'!D64</f>
        <v>0.19662201140952504</v>
      </c>
      <c r="P64" s="358">
        <f>VLOOKUP($A64,[0]!Data,303,FALSE)</f>
        <v>846</v>
      </c>
      <c r="Q64" s="360">
        <f>VLOOKUP($A64,[0]!Data,304,FALSE)</f>
        <v>3766</v>
      </c>
    </row>
    <row r="65" spans="1:17" x14ac:dyDescent="0.25">
      <c r="A65" s="40" t="s">
        <v>1842</v>
      </c>
      <c r="B65" s="40" t="s">
        <v>1981</v>
      </c>
      <c r="C65" s="358">
        <f>VLOOKUP($A65,[0]!Data,266,FALSE)</f>
        <v>61</v>
      </c>
      <c r="D65" s="358">
        <f>VLOOKUP($A65,[0]!Data,267,FALSE)</f>
        <v>66</v>
      </c>
      <c r="E65" s="358">
        <f>VLOOKUP($A65,[0]!Data,268,FALSE)</f>
        <v>368</v>
      </c>
      <c r="F65" s="358">
        <f>VLOOKUP($A65,[0]!Data,289,FALSE)</f>
        <v>6</v>
      </c>
      <c r="G65" s="358">
        <f>VLOOKUP($A65,[0]!Data,291,FALSE)</f>
        <v>37</v>
      </c>
      <c r="H65" s="358">
        <f>VLOOKUP($A65,[0]!Data,269,FALSE)</f>
        <v>495</v>
      </c>
      <c r="I65" s="358">
        <f>VLOOKUP($A65,[0]!Data,278,FALSE)</f>
        <v>523</v>
      </c>
      <c r="J65" s="358">
        <f>VLOOKUP($A65,[0]!Data,279,FALSE)</f>
        <v>338</v>
      </c>
      <c r="K65" s="358">
        <f>VLOOKUP($A65,[0]!Data,280,FALSE)</f>
        <v>8419</v>
      </c>
      <c r="L65" s="358">
        <f>VLOOKUP($A65,[0]!Data,290,FALSE)</f>
        <v>44</v>
      </c>
      <c r="M65" s="358">
        <f>VLOOKUP($A65,[0]!Data,292,FALSE)</f>
        <v>100</v>
      </c>
      <c r="N65" s="358">
        <f>VLOOKUP($A65,[0]!Data,281,FALSE)</f>
        <v>9280</v>
      </c>
      <c r="O65" s="490">
        <f>N65/'Table 1'!D65</f>
        <v>0.11350571197925585</v>
      </c>
      <c r="P65" s="358">
        <f>VLOOKUP($A65,[0]!Data,303,FALSE)</f>
        <v>706</v>
      </c>
      <c r="Q65" s="360">
        <f>VLOOKUP($A65,[0]!Data,304,FALSE)</f>
        <v>7032</v>
      </c>
    </row>
    <row r="66" spans="1:17" ht="15.75" thickBot="1" x14ac:dyDescent="0.3">
      <c r="A66" s="648" t="s">
        <v>2068</v>
      </c>
      <c r="B66" s="649"/>
      <c r="C66" s="361">
        <f t="shared" ref="C66:N66" si="0">SUM(C8:C65)</f>
        <v>28364</v>
      </c>
      <c r="D66" s="361">
        <f t="shared" si="0"/>
        <v>10209</v>
      </c>
      <c r="E66" s="361">
        <f t="shared" si="0"/>
        <v>76866</v>
      </c>
      <c r="F66" s="361">
        <f t="shared" si="0"/>
        <v>2955</v>
      </c>
      <c r="G66" s="361">
        <f t="shared" si="0"/>
        <v>7331</v>
      </c>
      <c r="H66" s="361">
        <f t="shared" si="0"/>
        <v>115439</v>
      </c>
      <c r="I66" s="361">
        <f t="shared" si="0"/>
        <v>363346</v>
      </c>
      <c r="J66" s="361">
        <f t="shared" si="0"/>
        <v>134804</v>
      </c>
      <c r="K66" s="361">
        <f t="shared" si="0"/>
        <v>1949902</v>
      </c>
      <c r="L66" s="361">
        <f t="shared" si="0"/>
        <v>25912</v>
      </c>
      <c r="M66" s="361">
        <f t="shared" si="0"/>
        <v>25546</v>
      </c>
      <c r="N66" s="361">
        <f t="shared" si="0"/>
        <v>2448052</v>
      </c>
      <c r="O66" s="503">
        <f>AVERAGE(O8:O65)</f>
        <v>0.24261070180695682</v>
      </c>
      <c r="P66" s="361">
        <f>SUM(P8:P65)</f>
        <v>82192</v>
      </c>
      <c r="Q66" s="361">
        <f>SUM(Q8:Q65)</f>
        <v>687491</v>
      </c>
    </row>
    <row r="67" spans="1:17" ht="16.5" thickTop="1" thickBot="1" x14ac:dyDescent="0.3">
      <c r="A67" s="651" t="s">
        <v>1866</v>
      </c>
      <c r="B67" s="651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17" ht="15.75" thickTop="1" x14ac:dyDescent="0.25">
      <c r="A68" s="40" t="s">
        <v>692</v>
      </c>
      <c r="B68" s="40" t="s">
        <v>1982</v>
      </c>
      <c r="C68" s="358">
        <f>VLOOKUP($A68,[0]!Data,266,FALSE)</f>
        <v>109</v>
      </c>
      <c r="D68" s="358">
        <f>VLOOKUP($A68,[0]!Data,267,FALSE)</f>
        <v>20</v>
      </c>
      <c r="E68" s="358">
        <f>VLOOKUP($A68,[0]!Data,268,FALSE)</f>
        <v>340</v>
      </c>
      <c r="F68" s="358">
        <f>VLOOKUP($A68,[0]!Data,289,FALSE)</f>
        <v>0</v>
      </c>
      <c r="G68" s="358">
        <f>VLOOKUP($A68,[0]!Data,291,FALSE)</f>
        <v>0</v>
      </c>
      <c r="H68" s="358">
        <f>VLOOKUP($A68,[0]!Data,269,FALSE)</f>
        <v>469</v>
      </c>
      <c r="I68" s="358">
        <f>VLOOKUP($A68,[0]!Data,278,FALSE)</f>
        <v>1180</v>
      </c>
      <c r="J68" s="358">
        <f>VLOOKUP($A68,[0]!Data,279,FALSE)</f>
        <v>289</v>
      </c>
      <c r="K68" s="358">
        <f>VLOOKUP($A68,[0]!Data,280,FALSE)</f>
        <v>10332</v>
      </c>
      <c r="L68" s="358">
        <f>VLOOKUP($A68,[0]!Data,290,FALSE)</f>
        <v>0</v>
      </c>
      <c r="M68" s="358">
        <f>VLOOKUP($A68,[0]!Data,292,FALSE)</f>
        <v>0</v>
      </c>
      <c r="N68" s="358">
        <f>VLOOKUP($A68,[0]!Data,281,FALSE)</f>
        <v>11801</v>
      </c>
      <c r="O68" s="502">
        <f>N68/'Table 1'!D68</f>
        <v>0.15413249046549293</v>
      </c>
      <c r="P68" s="358">
        <f>VLOOKUP($A68,[0]!Data,303,FALSE)</f>
        <v>214</v>
      </c>
      <c r="Q68" s="368">
        <f>VLOOKUP($A68,[0]!Data,304,FALSE)</f>
        <v>836</v>
      </c>
    </row>
    <row r="69" spans="1:17" x14ac:dyDescent="0.25">
      <c r="A69" s="40" t="s">
        <v>739</v>
      </c>
      <c r="B69" s="40" t="s">
        <v>1983</v>
      </c>
      <c r="C69" s="358">
        <f>VLOOKUP($A69,[0]!Data,266,FALSE)</f>
        <v>2671</v>
      </c>
      <c r="D69" s="358">
        <f>VLOOKUP($A69,[0]!Data,267,FALSE)</f>
        <v>0</v>
      </c>
      <c r="E69" s="358">
        <f>VLOOKUP($A69,[0]!Data,268,FALSE)</f>
        <v>283</v>
      </c>
      <c r="F69" s="358">
        <f>VLOOKUP($A69,[0]!Data,289,FALSE)</f>
        <v>3</v>
      </c>
      <c r="G69" s="358">
        <f>VLOOKUP($A69,[0]!Data,291,FALSE)</f>
        <v>5</v>
      </c>
      <c r="H69" s="358">
        <f>VLOOKUP($A69,[0]!Data,269,FALSE)</f>
        <v>2954</v>
      </c>
      <c r="I69" s="358">
        <f>VLOOKUP($A69,[0]!Data,278,FALSE)</f>
        <v>15345</v>
      </c>
      <c r="J69" s="358">
        <f>VLOOKUP($A69,[0]!Data,279,FALSE)</f>
        <v>0</v>
      </c>
      <c r="K69" s="358">
        <f>VLOOKUP($A69,[0]!Data,280,FALSE)</f>
        <v>4734</v>
      </c>
      <c r="L69" s="358">
        <f>VLOOKUP($A69,[0]!Data,290,FALSE)</f>
        <v>4</v>
      </c>
      <c r="M69" s="358">
        <f>VLOOKUP($A69,[0]!Data,292,FALSE)</f>
        <v>25</v>
      </c>
      <c r="N69" s="358">
        <f>VLOOKUP($A69,[0]!Data,281,FALSE)</f>
        <v>20079</v>
      </c>
      <c r="O69" s="490">
        <f>N69/'Table 1'!D69</f>
        <v>0.38983807711722906</v>
      </c>
      <c r="P69" s="358">
        <f>VLOOKUP($A69,[0]!Data,303,FALSE)</f>
        <v>2651</v>
      </c>
      <c r="Q69" s="360">
        <f>VLOOKUP($A69,[0]!Data,304,FALSE)</f>
        <v>20079</v>
      </c>
    </row>
    <row r="70" spans="1:17" x14ac:dyDescent="0.25">
      <c r="A70" s="40" t="s">
        <v>723</v>
      </c>
      <c r="B70" s="40" t="s">
        <v>1984</v>
      </c>
      <c r="C70" s="358">
        <f>VLOOKUP($A70,[0]!Data,266,FALSE)</f>
        <v>508</v>
      </c>
      <c r="D70" s="358">
        <f>VLOOKUP($A70,[0]!Data,267,FALSE)</f>
        <v>93</v>
      </c>
      <c r="E70" s="358">
        <f>VLOOKUP($A70,[0]!Data,268,FALSE)</f>
        <v>1032</v>
      </c>
      <c r="F70" s="358">
        <f>VLOOKUP($A70,[0]!Data,289,FALSE)</f>
        <v>10</v>
      </c>
      <c r="G70" s="358">
        <f>VLOOKUP($A70,[0]!Data,291,FALSE)</f>
        <v>80</v>
      </c>
      <c r="H70" s="358">
        <f>VLOOKUP($A70,[0]!Data,269,FALSE)</f>
        <v>1633</v>
      </c>
      <c r="I70" s="358">
        <f>VLOOKUP($A70,[0]!Data,278,FALSE)</f>
        <v>6018</v>
      </c>
      <c r="J70" s="358">
        <f>VLOOKUP($A70,[0]!Data,279,FALSE)</f>
        <v>806</v>
      </c>
      <c r="K70" s="358">
        <f>VLOOKUP($A70,[0]!Data,280,FALSE)</f>
        <v>26028</v>
      </c>
      <c r="L70" s="358">
        <f>VLOOKUP($A70,[0]!Data,290,FALSE)</f>
        <v>17</v>
      </c>
      <c r="M70" s="358">
        <f>VLOOKUP($A70,[0]!Data,292,FALSE)</f>
        <v>531</v>
      </c>
      <c r="N70" s="358">
        <f>VLOOKUP($A70,[0]!Data,281,FALSE)</f>
        <v>32852</v>
      </c>
      <c r="O70" s="490">
        <f>N70/'Table 1'!D70</f>
        <v>0.21561665233685343</v>
      </c>
      <c r="P70" s="358">
        <f>VLOOKUP($A70,[0]!Data,303,FALSE)</f>
        <v>1606</v>
      </c>
      <c r="Q70" s="360">
        <f>VLOOKUP($A70,[0]!Data,304,FALSE)</f>
        <v>12469</v>
      </c>
    </row>
    <row r="71" spans="1:17" x14ac:dyDescent="0.25">
      <c r="A71" s="40" t="s">
        <v>760</v>
      </c>
      <c r="B71" s="40" t="s">
        <v>1985</v>
      </c>
      <c r="C71" s="358">
        <f>VLOOKUP($A71,[0]!Data,266,FALSE)</f>
        <v>132</v>
      </c>
      <c r="D71" s="358">
        <f>VLOOKUP($A71,[0]!Data,267,FALSE)</f>
        <v>59</v>
      </c>
      <c r="E71" s="358">
        <f>VLOOKUP($A71,[0]!Data,268,FALSE)</f>
        <v>383</v>
      </c>
      <c r="F71" s="358">
        <f>VLOOKUP($A71,[0]!Data,289,FALSE)</f>
        <v>2</v>
      </c>
      <c r="G71" s="358">
        <f>VLOOKUP($A71,[0]!Data,291,FALSE)</f>
        <v>8</v>
      </c>
      <c r="H71" s="358">
        <f>VLOOKUP($A71,[0]!Data,269,FALSE)</f>
        <v>574</v>
      </c>
      <c r="I71" s="358">
        <f>VLOOKUP($A71,[0]!Data,278,FALSE)</f>
        <v>1462</v>
      </c>
      <c r="J71" s="358">
        <f>VLOOKUP($A71,[0]!Data,279,FALSE)</f>
        <v>353</v>
      </c>
      <c r="K71" s="358">
        <f>VLOOKUP($A71,[0]!Data,280,FALSE)</f>
        <v>8671</v>
      </c>
      <c r="L71" s="358">
        <f>VLOOKUP($A71,[0]!Data,290,FALSE)</f>
        <v>7</v>
      </c>
      <c r="M71" s="358">
        <f>VLOOKUP($A71,[0]!Data,292,FALSE)</f>
        <v>16</v>
      </c>
      <c r="N71" s="358">
        <f>VLOOKUP($A71,[0]!Data,281,FALSE)</f>
        <v>10486</v>
      </c>
      <c r="O71" s="490">
        <f>N71/'Table 1'!D71</f>
        <v>0.15586539033236221</v>
      </c>
      <c r="P71" s="358">
        <f>VLOOKUP($A71,[0]!Data,303,FALSE)</f>
        <v>90</v>
      </c>
      <c r="Q71" s="360">
        <f>VLOOKUP($A71,[0]!Data,304,FALSE)</f>
        <v>922</v>
      </c>
    </row>
    <row r="72" spans="1:17" x14ac:dyDescent="0.25">
      <c r="A72" s="40" t="s">
        <v>975</v>
      </c>
      <c r="B72" s="40" t="s">
        <v>1986</v>
      </c>
      <c r="C72" s="358">
        <f>VLOOKUP($A72,[0]!Data,266,FALSE)</f>
        <v>659</v>
      </c>
      <c r="D72" s="358">
        <f>VLOOKUP($A72,[0]!Data,267,FALSE)</f>
        <v>421</v>
      </c>
      <c r="E72" s="358">
        <f>VLOOKUP($A72,[0]!Data,268,FALSE)</f>
        <v>1432</v>
      </c>
      <c r="F72" s="358">
        <f>VLOOKUP($A72,[0]!Data,289,FALSE)</f>
        <v>2</v>
      </c>
      <c r="G72" s="358">
        <f>VLOOKUP($A72,[0]!Data,291,FALSE)</f>
        <v>94</v>
      </c>
      <c r="H72" s="358">
        <f>VLOOKUP($A72,[0]!Data,269,FALSE)</f>
        <v>2512</v>
      </c>
      <c r="I72" s="358">
        <f>VLOOKUP($A72,[0]!Data,278,FALSE)</f>
        <v>7634</v>
      </c>
      <c r="J72" s="358">
        <f>VLOOKUP($A72,[0]!Data,279,FALSE)</f>
        <v>4074</v>
      </c>
      <c r="K72" s="358">
        <f>VLOOKUP($A72,[0]!Data,280,FALSE)</f>
        <v>27192</v>
      </c>
      <c r="L72" s="358">
        <f>VLOOKUP($A72,[0]!Data,290,FALSE)</f>
        <v>8</v>
      </c>
      <c r="M72" s="358">
        <f>VLOOKUP($A72,[0]!Data,292,FALSE)</f>
        <v>228</v>
      </c>
      <c r="N72" s="358">
        <f>VLOOKUP($A72,[0]!Data,281,FALSE)</f>
        <v>38900</v>
      </c>
      <c r="O72" s="490">
        <f>N72/'Table 1'!D72</f>
        <v>0.20807257400216095</v>
      </c>
      <c r="P72" s="358">
        <f>VLOOKUP($A72,[0]!Data,303,FALSE)</f>
        <v>744</v>
      </c>
      <c r="Q72" s="360">
        <f>VLOOKUP($A72,[0]!Data,304,FALSE)</f>
        <v>5484</v>
      </c>
    </row>
    <row r="73" spans="1:17" x14ac:dyDescent="0.25">
      <c r="A73" s="40" t="s">
        <v>1071</v>
      </c>
      <c r="B73" s="40" t="s">
        <v>1987</v>
      </c>
      <c r="C73" s="358">
        <f>VLOOKUP($A73,[0]!Data,266,FALSE)</f>
        <v>240</v>
      </c>
      <c r="D73" s="358">
        <f>VLOOKUP($A73,[0]!Data,267,FALSE)</f>
        <v>7</v>
      </c>
      <c r="E73" s="358">
        <f>VLOOKUP($A73,[0]!Data,268,FALSE)</f>
        <v>1233</v>
      </c>
      <c r="F73" s="358">
        <f>VLOOKUP($A73,[0]!Data,289,FALSE)</f>
        <v>50</v>
      </c>
      <c r="G73" s="358">
        <f>VLOOKUP($A73,[0]!Data,291,FALSE)</f>
        <v>188</v>
      </c>
      <c r="H73" s="358">
        <f>VLOOKUP($A73,[0]!Data,269,FALSE)</f>
        <v>1480</v>
      </c>
      <c r="I73" s="358">
        <f>VLOOKUP($A73,[0]!Data,278,FALSE)</f>
        <v>4175</v>
      </c>
      <c r="J73" s="358">
        <f>VLOOKUP($A73,[0]!Data,279,FALSE)</f>
        <v>51</v>
      </c>
      <c r="K73" s="358">
        <f>VLOOKUP($A73,[0]!Data,280,FALSE)</f>
        <v>24826</v>
      </c>
      <c r="L73" s="358">
        <f>VLOOKUP($A73,[0]!Data,290,FALSE)</f>
        <v>92</v>
      </c>
      <c r="M73" s="358">
        <f>VLOOKUP($A73,[0]!Data,292,FALSE)</f>
        <v>445</v>
      </c>
      <c r="N73" s="358">
        <f>VLOOKUP($A73,[0]!Data,281,FALSE)</f>
        <v>29052</v>
      </c>
      <c r="O73" s="490">
        <f>N73/'Table 1'!D73</f>
        <v>0.25696317851741124</v>
      </c>
      <c r="P73" s="358">
        <f>VLOOKUP($A73,[0]!Data,303,FALSE)</f>
        <v>1465</v>
      </c>
      <c r="Q73" s="360">
        <f>VLOOKUP($A73,[0]!Data,304,FALSE)</f>
        <v>19811</v>
      </c>
    </row>
    <row r="74" spans="1:17" x14ac:dyDescent="0.25">
      <c r="A74" s="40" t="s">
        <v>1111</v>
      </c>
      <c r="B74" s="40" t="s">
        <v>1988</v>
      </c>
      <c r="C74" s="358">
        <f>VLOOKUP($A74,[0]!Data,266,FALSE)</f>
        <v>651</v>
      </c>
      <c r="D74" s="358">
        <f>VLOOKUP($A74,[0]!Data,267,FALSE)</f>
        <v>123</v>
      </c>
      <c r="E74" s="358">
        <f>VLOOKUP($A74,[0]!Data,268,FALSE)</f>
        <v>1874</v>
      </c>
      <c r="F74" s="358">
        <f>VLOOKUP($A74,[0]!Data,289,FALSE)</f>
        <v>2</v>
      </c>
      <c r="G74" s="358">
        <f>VLOOKUP($A74,[0]!Data,291,FALSE)</f>
        <v>47</v>
      </c>
      <c r="H74" s="358">
        <f>VLOOKUP($A74,[0]!Data,269,FALSE)</f>
        <v>2648</v>
      </c>
      <c r="I74" s="358">
        <f>VLOOKUP($A74,[0]!Data,278,FALSE)</f>
        <v>11754</v>
      </c>
      <c r="J74" s="358">
        <f>VLOOKUP($A74,[0]!Data,279,FALSE)</f>
        <v>1376</v>
      </c>
      <c r="K74" s="358">
        <f>VLOOKUP($A74,[0]!Data,280,FALSE)</f>
        <v>47160</v>
      </c>
      <c r="L74" s="358">
        <f>VLOOKUP($A74,[0]!Data,290,FALSE)</f>
        <v>2</v>
      </c>
      <c r="M74" s="358">
        <f>VLOOKUP($A74,[0]!Data,292,FALSE)</f>
        <v>518</v>
      </c>
      <c r="N74" s="358">
        <f>VLOOKUP($A74,[0]!Data,281,FALSE)</f>
        <v>60290</v>
      </c>
      <c r="O74" s="490">
        <f>N74/'Table 1'!D74</f>
        <v>0.66019863996233064</v>
      </c>
      <c r="P74" s="358">
        <f>VLOOKUP($A74,[0]!Data,303,FALSE)</f>
        <v>7068</v>
      </c>
      <c r="Q74" s="360">
        <f>VLOOKUP($A74,[0]!Data,304,FALSE)</f>
        <v>30272</v>
      </c>
    </row>
    <row r="75" spans="1:17" x14ac:dyDescent="0.25">
      <c r="A75" s="40" t="s">
        <v>1425</v>
      </c>
      <c r="B75" s="40" t="s">
        <v>1989</v>
      </c>
      <c r="C75" s="358">
        <f>VLOOKUP($A75,[0]!Data,266,FALSE)</f>
        <v>337</v>
      </c>
      <c r="D75" s="358">
        <f>VLOOKUP($A75,[0]!Data,267,FALSE)</f>
        <v>22</v>
      </c>
      <c r="E75" s="358">
        <f>VLOOKUP($A75,[0]!Data,268,FALSE)</f>
        <v>487</v>
      </c>
      <c r="F75" s="358">
        <f>VLOOKUP($A75,[0]!Data,289,FALSE)</f>
        <v>0</v>
      </c>
      <c r="G75" s="358">
        <f>VLOOKUP($A75,[0]!Data,291,FALSE)</f>
        <v>25</v>
      </c>
      <c r="H75" s="358">
        <f>VLOOKUP($A75,[0]!Data,269,FALSE)</f>
        <v>846</v>
      </c>
      <c r="I75" s="358">
        <f>VLOOKUP($A75,[0]!Data,278,FALSE)</f>
        <v>5373</v>
      </c>
      <c r="J75" s="358">
        <f>VLOOKUP($A75,[0]!Data,279,FALSE)</f>
        <v>241</v>
      </c>
      <c r="K75" s="358">
        <f>VLOOKUP($A75,[0]!Data,280,FALSE)</f>
        <v>11331</v>
      </c>
      <c r="L75" s="358">
        <f>VLOOKUP($A75,[0]!Data,290,FALSE)</f>
        <v>0</v>
      </c>
      <c r="M75" s="358">
        <f>VLOOKUP($A75,[0]!Data,292,FALSE)</f>
        <v>102</v>
      </c>
      <c r="N75" s="358">
        <f>VLOOKUP($A75,[0]!Data,281,FALSE)</f>
        <v>16945</v>
      </c>
      <c r="O75" s="490">
        <f>N75/'Table 1'!D75</f>
        <v>0.3476182661141427</v>
      </c>
      <c r="P75" s="358">
        <f>VLOOKUP($A75,[0]!Data,303,FALSE)</f>
        <v>268</v>
      </c>
      <c r="Q75" s="360">
        <f>VLOOKUP($A75,[0]!Data,304,FALSE)</f>
        <v>2970</v>
      </c>
    </row>
    <row r="76" spans="1:17" x14ac:dyDescent="0.25">
      <c r="A76" s="40" t="s">
        <v>1442</v>
      </c>
      <c r="B76" s="40" t="s">
        <v>1990</v>
      </c>
      <c r="C76" s="358">
        <f>VLOOKUP($A76,[0]!Data,266,FALSE)</f>
        <v>402</v>
      </c>
      <c r="D76" s="358">
        <f>VLOOKUP($A76,[0]!Data,267,FALSE)</f>
        <v>55</v>
      </c>
      <c r="E76" s="358">
        <f>VLOOKUP($A76,[0]!Data,268,FALSE)</f>
        <v>895</v>
      </c>
      <c r="F76" s="358">
        <f>VLOOKUP($A76,[0]!Data,289,FALSE)</f>
        <v>0</v>
      </c>
      <c r="G76" s="358">
        <f>VLOOKUP($A76,[0]!Data,291,FALSE)</f>
        <v>53</v>
      </c>
      <c r="H76" s="358">
        <f>VLOOKUP($A76,[0]!Data,269,FALSE)</f>
        <v>1352</v>
      </c>
      <c r="I76" s="358">
        <f>VLOOKUP($A76,[0]!Data,278,FALSE)</f>
        <v>2683</v>
      </c>
      <c r="J76" s="358">
        <f>VLOOKUP($A76,[0]!Data,279,FALSE)</f>
        <v>416</v>
      </c>
      <c r="K76" s="358">
        <f>VLOOKUP($A76,[0]!Data,280,FALSE)</f>
        <v>24412</v>
      </c>
      <c r="L76" s="358">
        <f>VLOOKUP($A76,[0]!Data,290,FALSE)</f>
        <v>0</v>
      </c>
      <c r="M76" s="358">
        <f>VLOOKUP($A76,[0]!Data,292,FALSE)</f>
        <v>165</v>
      </c>
      <c r="N76" s="358">
        <f>VLOOKUP($A76,[0]!Data,281,FALSE)</f>
        <v>27511</v>
      </c>
      <c r="O76" s="490">
        <f>N76/'Table 1'!D76</f>
        <v>0.30786016427564289</v>
      </c>
      <c r="P76" s="358">
        <f>VLOOKUP($A76,[0]!Data,303,FALSE)</f>
        <v>2018</v>
      </c>
      <c r="Q76" s="360">
        <f>VLOOKUP($A76,[0]!Data,304,FALSE)</f>
        <v>5910</v>
      </c>
    </row>
    <row r="77" spans="1:17" x14ac:dyDescent="0.25">
      <c r="A77" s="40" t="s">
        <v>1472</v>
      </c>
      <c r="B77" s="40" t="s">
        <v>1991</v>
      </c>
      <c r="C77" s="358">
        <f>VLOOKUP($A77,[0]!Data,266,FALSE)</f>
        <v>1367</v>
      </c>
      <c r="D77" s="358">
        <f>VLOOKUP($A77,[0]!Data,267,FALSE)</f>
        <v>182</v>
      </c>
      <c r="E77" s="358">
        <f>VLOOKUP($A77,[0]!Data,268,FALSE)</f>
        <v>2618</v>
      </c>
      <c r="F77" s="358">
        <f>VLOOKUP($A77,[0]!Data,289,FALSE)</f>
        <v>387</v>
      </c>
      <c r="G77" s="358">
        <f>VLOOKUP($A77,[0]!Data,291,FALSE)</f>
        <v>679</v>
      </c>
      <c r="H77" s="358">
        <f>VLOOKUP($A77,[0]!Data,269,FALSE)</f>
        <v>4167</v>
      </c>
      <c r="I77" s="358">
        <f>VLOOKUP($A77,[0]!Data,278,FALSE)</f>
        <v>18570</v>
      </c>
      <c r="J77" s="358">
        <f>VLOOKUP($A77,[0]!Data,279,FALSE)</f>
        <v>903</v>
      </c>
      <c r="K77" s="358">
        <f>VLOOKUP($A77,[0]!Data,280,FALSE)</f>
        <v>54751</v>
      </c>
      <c r="L77" s="358">
        <f>VLOOKUP($A77,[0]!Data,290,FALSE)</f>
        <v>0</v>
      </c>
      <c r="M77" s="358">
        <f>VLOOKUP($A77,[0]!Data,292,FALSE)</f>
        <v>0</v>
      </c>
      <c r="N77" s="358">
        <f>VLOOKUP($A77,[0]!Data,281,FALSE)</f>
        <v>74224</v>
      </c>
      <c r="O77" s="490">
        <f>N77/'Table 1'!D77</f>
        <v>0.44044362423674199</v>
      </c>
      <c r="P77" s="358">
        <f>VLOOKUP($A77,[0]!Data,303,FALSE)</f>
        <v>2612</v>
      </c>
      <c r="Q77" s="360">
        <f>VLOOKUP($A77,[0]!Data,304,FALSE)</f>
        <v>31344</v>
      </c>
    </row>
    <row r="78" spans="1:17" x14ac:dyDescent="0.25">
      <c r="A78" s="40" t="s">
        <v>1558</v>
      </c>
      <c r="B78" s="40" t="s">
        <v>1992</v>
      </c>
      <c r="C78" s="358">
        <f>VLOOKUP($A78,[0]!Data,266,FALSE)</f>
        <v>282</v>
      </c>
      <c r="D78" s="358">
        <f>VLOOKUP($A78,[0]!Data,267,FALSE)</f>
        <v>282</v>
      </c>
      <c r="E78" s="358">
        <f>VLOOKUP($A78,[0]!Data,268,FALSE)</f>
        <v>640</v>
      </c>
      <c r="F78" s="358">
        <f>VLOOKUP($A78,[0]!Data,289,FALSE)</f>
        <v>2</v>
      </c>
      <c r="G78" s="358">
        <f>VLOOKUP($A78,[0]!Data,291,FALSE)</f>
        <v>13</v>
      </c>
      <c r="H78" s="358">
        <f>VLOOKUP($A78,[0]!Data,269,FALSE)</f>
        <v>1204</v>
      </c>
      <c r="I78" s="358">
        <f>VLOOKUP($A78,[0]!Data,278,FALSE)</f>
        <v>3728</v>
      </c>
      <c r="J78" s="358">
        <f>VLOOKUP($A78,[0]!Data,279,FALSE)</f>
        <v>185</v>
      </c>
      <c r="K78" s="358">
        <f>VLOOKUP($A78,[0]!Data,280,FALSE)</f>
        <v>12284</v>
      </c>
      <c r="L78" s="358">
        <f>VLOOKUP($A78,[0]!Data,290,FALSE)</f>
        <v>55</v>
      </c>
      <c r="M78" s="358">
        <f>VLOOKUP($A78,[0]!Data,292,FALSE)</f>
        <v>170</v>
      </c>
      <c r="N78" s="358">
        <f>VLOOKUP($A78,[0]!Data,281,FALSE)</f>
        <v>16197</v>
      </c>
      <c r="O78" s="490">
        <f>N78/'Table 1'!D78</f>
        <v>0.3637159795203449</v>
      </c>
      <c r="P78" s="358">
        <f>VLOOKUP($A78,[0]!Data,303,FALSE)</f>
        <v>834</v>
      </c>
      <c r="Q78" s="360">
        <f>VLOOKUP($A78,[0]!Data,304,FALSE)</f>
        <v>6914</v>
      </c>
    </row>
    <row r="79" spans="1:17" x14ac:dyDescent="0.25">
      <c r="A79" s="40" t="s">
        <v>1696</v>
      </c>
      <c r="B79" s="40" t="s">
        <v>1993</v>
      </c>
      <c r="C79" s="358">
        <f>VLOOKUP($A79,[0]!Data,266,FALSE)</f>
        <v>876</v>
      </c>
      <c r="D79" s="358">
        <f>VLOOKUP($A79,[0]!Data,267,FALSE)</f>
        <v>117</v>
      </c>
      <c r="E79" s="358">
        <f>VLOOKUP($A79,[0]!Data,268,FALSE)</f>
        <v>1327</v>
      </c>
      <c r="F79" s="358">
        <f>VLOOKUP($A79,[0]!Data,289,FALSE)</f>
        <v>28</v>
      </c>
      <c r="G79" s="358">
        <f>VLOOKUP($A79,[0]!Data,291,FALSE)</f>
        <v>165</v>
      </c>
      <c r="H79" s="358">
        <f>VLOOKUP($A79,[0]!Data,269,FALSE)</f>
        <v>2320</v>
      </c>
      <c r="I79" s="358">
        <f>VLOOKUP($A79,[0]!Data,278,FALSE)</f>
        <v>8724</v>
      </c>
      <c r="J79" s="358">
        <f>VLOOKUP($A79,[0]!Data,279,FALSE)</f>
        <v>2200</v>
      </c>
      <c r="K79" s="358">
        <f>VLOOKUP($A79,[0]!Data,280,FALSE)</f>
        <v>45915</v>
      </c>
      <c r="L79" s="358">
        <f>VLOOKUP($A79,[0]!Data,290,FALSE)</f>
        <v>161</v>
      </c>
      <c r="M79" s="358">
        <f>VLOOKUP($A79,[0]!Data,292,FALSE)</f>
        <v>1153</v>
      </c>
      <c r="N79" s="358">
        <f>VLOOKUP($A79,[0]!Data,281,FALSE)</f>
        <v>56839</v>
      </c>
      <c r="O79" s="490">
        <f>N79/'Table 1'!D79</f>
        <v>0.24408248449765532</v>
      </c>
      <c r="P79" s="358">
        <f>VLOOKUP($A79,[0]!Data,303,FALSE)</f>
        <v>2255</v>
      </c>
      <c r="Q79" s="360">
        <f>VLOOKUP($A79,[0]!Data,304,FALSE)</f>
        <v>29397</v>
      </c>
    </row>
    <row r="80" spans="1:17" ht="15.75" thickBot="1" x14ac:dyDescent="0.3">
      <c r="A80" s="648" t="s">
        <v>2068</v>
      </c>
      <c r="B80" s="649"/>
      <c r="C80" s="361">
        <f t="shared" ref="C80:N80" si="1">SUM(C68:C79)</f>
        <v>8234</v>
      </c>
      <c r="D80" s="361">
        <f t="shared" si="1"/>
        <v>1381</v>
      </c>
      <c r="E80" s="361">
        <f t="shared" si="1"/>
        <v>12544</v>
      </c>
      <c r="F80" s="361">
        <f t="shared" si="1"/>
        <v>486</v>
      </c>
      <c r="G80" s="361">
        <f t="shared" si="1"/>
        <v>1357</v>
      </c>
      <c r="H80" s="361">
        <f t="shared" si="1"/>
        <v>22159</v>
      </c>
      <c r="I80" s="361">
        <f t="shared" si="1"/>
        <v>86646</v>
      </c>
      <c r="J80" s="361">
        <f t="shared" si="1"/>
        <v>10894</v>
      </c>
      <c r="K80" s="361">
        <f t="shared" si="1"/>
        <v>297636</v>
      </c>
      <c r="L80" s="361">
        <f t="shared" si="1"/>
        <v>346</v>
      </c>
      <c r="M80" s="361">
        <f t="shared" si="1"/>
        <v>3353</v>
      </c>
      <c r="N80" s="361">
        <f t="shared" si="1"/>
        <v>395176</v>
      </c>
      <c r="O80" s="503">
        <f>AVERAGE(O68:O79)</f>
        <v>0.31203396011486401</v>
      </c>
      <c r="P80" s="361">
        <f>SUM(P68:P79)</f>
        <v>21825</v>
      </c>
      <c r="Q80" s="48">
        <f>SUM(Q68:Q79)</f>
        <v>166408</v>
      </c>
    </row>
    <row r="81" spans="1:17" ht="16.5" thickTop="1" thickBot="1" x14ac:dyDescent="0.3">
      <c r="A81" s="58"/>
      <c r="B81" s="49" t="s">
        <v>1867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17" ht="15.75" thickTop="1" x14ac:dyDescent="0.25">
      <c r="A82" s="55" t="s">
        <v>897</v>
      </c>
      <c r="B82" s="40" t="s">
        <v>1994</v>
      </c>
      <c r="C82" s="358">
        <f>VLOOKUP($A82,[0]!Data,266,FALSE)</f>
        <v>109</v>
      </c>
      <c r="D82" s="358">
        <f>VLOOKUP($A82,[0]!Data,267,FALSE)</f>
        <v>138</v>
      </c>
      <c r="E82" s="358">
        <f>VLOOKUP($A82,[0]!Data,268,FALSE)</f>
        <v>786</v>
      </c>
      <c r="F82" s="358">
        <f>VLOOKUP($A82,[0]!Data,289,FALSE)</f>
        <v>24</v>
      </c>
      <c r="G82" s="358">
        <f>VLOOKUP($A82,[0]!Data,291,FALSE)</f>
        <v>34</v>
      </c>
      <c r="H82" s="358">
        <f>VLOOKUP($A82,[0]!Data,269,FALSE)</f>
        <v>1033</v>
      </c>
      <c r="I82" s="358">
        <f>VLOOKUP($A82,[0]!Data,278,FALSE)</f>
        <v>3192</v>
      </c>
      <c r="J82" s="358">
        <f>VLOOKUP($A82,[0]!Data,279,FALSE)</f>
        <v>2053</v>
      </c>
      <c r="K82" s="358">
        <f>VLOOKUP($A82,[0]!Data,280,FALSE)</f>
        <v>35774</v>
      </c>
      <c r="L82" s="358">
        <f>VLOOKUP($A82,[0]!Data,290,FALSE)</f>
        <v>266</v>
      </c>
      <c r="M82" s="358">
        <f>VLOOKUP($A82,[0]!Data,292,FALSE)</f>
        <v>284</v>
      </c>
      <c r="N82" s="358">
        <f>VLOOKUP($A82,[0]!Data,281,FALSE)</f>
        <v>41019</v>
      </c>
      <c r="O82" s="502">
        <f>N82/'Table 1'!D82</f>
        <v>0.68534050658290446</v>
      </c>
      <c r="P82" s="358">
        <f>VLOOKUP($A82,[0]!Data,303,FALSE)</f>
        <v>2132</v>
      </c>
      <c r="Q82" s="368">
        <f>VLOOKUP($A82,[0]!Data,304,FALSE)</f>
        <v>0</v>
      </c>
    </row>
    <row r="83" spans="1:17" x14ac:dyDescent="0.25">
      <c r="A83" s="55" t="s">
        <v>1312</v>
      </c>
      <c r="B83" s="40" t="s">
        <v>1868</v>
      </c>
      <c r="C83" s="358">
        <f>VLOOKUP($A83,[0]!Data,266,FALSE)</f>
        <v>153</v>
      </c>
      <c r="D83" s="358">
        <f>VLOOKUP($A83,[0]!Data,267,FALSE)</f>
        <v>80</v>
      </c>
      <c r="E83" s="358">
        <f>VLOOKUP($A83,[0]!Data,268,FALSE)</f>
        <v>236</v>
      </c>
      <c r="F83" s="358">
        <f>VLOOKUP($A83,[0]!Data,289,FALSE)</f>
        <v>0</v>
      </c>
      <c r="G83" s="358">
        <f>VLOOKUP($A83,[0]!Data,291,FALSE)</f>
        <v>0</v>
      </c>
      <c r="H83" s="358">
        <f>VLOOKUP($A83,[0]!Data,269,FALSE)</f>
        <v>469</v>
      </c>
      <c r="I83" s="358">
        <f>VLOOKUP($A83,[0]!Data,278,FALSE)</f>
        <v>1711</v>
      </c>
      <c r="J83" s="358">
        <f>VLOOKUP($A83,[0]!Data,279,FALSE)</f>
        <v>1039</v>
      </c>
      <c r="K83" s="358">
        <f>VLOOKUP($A83,[0]!Data,280,FALSE)</f>
        <v>6853</v>
      </c>
      <c r="L83" s="358">
        <f>VLOOKUP($A83,[0]!Data,290,FALSE)</f>
        <v>0</v>
      </c>
      <c r="M83" s="358">
        <f>VLOOKUP($A83,[0]!Data,292,FALSE)</f>
        <v>0</v>
      </c>
      <c r="N83" s="358">
        <f>VLOOKUP($A83,[0]!Data,281,FALSE)</f>
        <v>9603</v>
      </c>
      <c r="O83" s="490">
        <f>N83/'Table 1'!D83</f>
        <v>0.49431203994440726</v>
      </c>
      <c r="P83" s="358">
        <f>VLOOKUP($A83,[0]!Data,303,FALSE)</f>
        <v>-1</v>
      </c>
      <c r="Q83" s="360">
        <f>VLOOKUP($A83,[0]!Data,304,FALSE)</f>
        <v>-1</v>
      </c>
    </row>
    <row r="84" spans="1:17" x14ac:dyDescent="0.25">
      <c r="A84" s="55" t="s">
        <v>1100</v>
      </c>
      <c r="B84" s="40" t="s">
        <v>1995</v>
      </c>
      <c r="C84" s="358">
        <f>VLOOKUP($A84,[0]!Data,266,FALSE)</f>
        <v>99</v>
      </c>
      <c r="D84" s="358">
        <f>VLOOKUP($A84,[0]!Data,267,FALSE)</f>
        <v>3</v>
      </c>
      <c r="E84" s="358">
        <f>VLOOKUP($A84,[0]!Data,268,FALSE)</f>
        <v>269</v>
      </c>
      <c r="F84" s="358">
        <f>VLOOKUP($A84,[0]!Data,289,FALSE)</f>
        <v>0</v>
      </c>
      <c r="G84" s="358">
        <f>VLOOKUP($A84,[0]!Data,291,FALSE)</f>
        <v>12</v>
      </c>
      <c r="H84" s="358">
        <f>VLOOKUP($A84,[0]!Data,269,FALSE)</f>
        <v>371</v>
      </c>
      <c r="I84" s="358">
        <f>VLOOKUP($A84,[0]!Data,278,FALSE)</f>
        <v>1467</v>
      </c>
      <c r="J84" s="358">
        <f>VLOOKUP($A84,[0]!Data,279,FALSE)</f>
        <v>21</v>
      </c>
      <c r="K84" s="358">
        <f>VLOOKUP($A84,[0]!Data,280,FALSE)</f>
        <v>4070</v>
      </c>
      <c r="L84" s="358">
        <f>VLOOKUP($A84,[0]!Data,290,FALSE)</f>
        <v>0</v>
      </c>
      <c r="M84" s="358">
        <f>VLOOKUP($A84,[0]!Data,292,FALSE)</f>
        <v>105</v>
      </c>
      <c r="N84" s="358">
        <f>VLOOKUP($A84,[0]!Data,281,FALSE)</f>
        <v>5558</v>
      </c>
      <c r="O84" s="490">
        <f>N84/'Table 1'!D84</f>
        <v>1.1901498929336189</v>
      </c>
      <c r="P84" s="358">
        <f>VLOOKUP($A84,[0]!Data,303,FALSE)</f>
        <v>294</v>
      </c>
      <c r="Q84" s="360">
        <f>VLOOKUP($A84,[0]!Data,304,FALSE)</f>
        <v>0</v>
      </c>
    </row>
    <row r="85" spans="1:17" x14ac:dyDescent="0.25">
      <c r="A85" s="55" t="s">
        <v>1281</v>
      </c>
      <c r="B85" s="40" t="s">
        <v>1996</v>
      </c>
      <c r="C85" s="358">
        <f>VLOOKUP($A85,[0]!Data,266,FALSE)</f>
        <v>240</v>
      </c>
      <c r="D85" s="358">
        <f>VLOOKUP($A85,[0]!Data,267,FALSE)</f>
        <v>9</v>
      </c>
      <c r="E85" s="358">
        <f>VLOOKUP($A85,[0]!Data,268,FALSE)</f>
        <v>749</v>
      </c>
      <c r="F85" s="358">
        <f>VLOOKUP($A85,[0]!Data,289,FALSE)</f>
        <v>1</v>
      </c>
      <c r="G85" s="358">
        <f>VLOOKUP($A85,[0]!Data,291,FALSE)</f>
        <v>19</v>
      </c>
      <c r="H85" s="358">
        <f>VLOOKUP($A85,[0]!Data,269,FALSE)</f>
        <v>998</v>
      </c>
      <c r="I85" s="358">
        <f>VLOOKUP($A85,[0]!Data,278,FALSE)</f>
        <v>4024</v>
      </c>
      <c r="J85" s="358">
        <f>VLOOKUP($A85,[0]!Data,279,FALSE)</f>
        <v>71</v>
      </c>
      <c r="K85" s="358">
        <f>VLOOKUP($A85,[0]!Data,280,FALSE)</f>
        <v>15141</v>
      </c>
      <c r="L85" s="358">
        <f>VLOOKUP($A85,[0]!Data,290,FALSE)</f>
        <v>5</v>
      </c>
      <c r="M85" s="358">
        <f>VLOOKUP($A85,[0]!Data,292,FALSE)</f>
        <v>60</v>
      </c>
      <c r="N85" s="358">
        <f>VLOOKUP($A85,[0]!Data,281,FALSE)</f>
        <v>19236</v>
      </c>
      <c r="O85" s="490">
        <f>N85/'Table 1'!D85</f>
        <v>0.47551479494722271</v>
      </c>
      <c r="P85" s="358">
        <f>VLOOKUP($A85,[0]!Data,303,FALSE)</f>
        <v>947</v>
      </c>
      <c r="Q85" s="360">
        <f>VLOOKUP($A85,[0]!Data,304,FALSE)</f>
        <v>4529</v>
      </c>
    </row>
    <row r="86" spans="1:17" x14ac:dyDescent="0.25">
      <c r="A86" s="55" t="s">
        <v>1297</v>
      </c>
      <c r="B86" s="40" t="s">
        <v>1997</v>
      </c>
      <c r="C86" s="358">
        <f>VLOOKUP($A86,[0]!Data,266,FALSE)</f>
        <v>1757</v>
      </c>
      <c r="D86" s="358">
        <f>VLOOKUP($A86,[0]!Data,267,FALSE)</f>
        <v>10</v>
      </c>
      <c r="E86" s="358">
        <f>VLOOKUP($A86,[0]!Data,268,FALSE)</f>
        <v>1935</v>
      </c>
      <c r="F86" s="358">
        <f>VLOOKUP($A86,[0]!Data,289,FALSE)</f>
        <v>11</v>
      </c>
      <c r="G86" s="358">
        <f>VLOOKUP($A86,[0]!Data,291,FALSE)</f>
        <v>741</v>
      </c>
      <c r="H86" s="358">
        <f>VLOOKUP($A86,[0]!Data,269,FALSE)</f>
        <v>3702</v>
      </c>
      <c r="I86" s="358">
        <f>VLOOKUP($A86,[0]!Data,278,FALSE)</f>
        <v>10444</v>
      </c>
      <c r="J86" s="358">
        <f>VLOOKUP($A86,[0]!Data,279,FALSE)</f>
        <v>118</v>
      </c>
      <c r="K86" s="358">
        <f>VLOOKUP($A86,[0]!Data,280,FALSE)</f>
        <v>26645</v>
      </c>
      <c r="L86" s="358">
        <f>VLOOKUP($A86,[0]!Data,290,FALSE)</f>
        <v>99</v>
      </c>
      <c r="M86" s="358">
        <f>VLOOKUP($A86,[0]!Data,292,FALSE)</f>
        <v>946</v>
      </c>
      <c r="N86" s="358">
        <f>VLOOKUP($A86,[0]!Data,281,FALSE)</f>
        <v>37207</v>
      </c>
      <c r="O86" s="490">
        <f>N86/'Table 1'!D86</f>
        <v>0.33749682522404845</v>
      </c>
      <c r="P86" s="358">
        <f>VLOOKUP($A86,[0]!Data,303,FALSE)</f>
        <v>397</v>
      </c>
      <c r="Q86" s="360">
        <f>VLOOKUP($A86,[0]!Data,304,FALSE)</f>
        <v>7431</v>
      </c>
    </row>
    <row r="87" spans="1:17" x14ac:dyDescent="0.25">
      <c r="A87" s="55" t="s">
        <v>1341</v>
      </c>
      <c r="B87" s="40" t="s">
        <v>1998</v>
      </c>
      <c r="C87" s="358">
        <f>VLOOKUP($A87,[0]!Data,266,FALSE)</f>
        <v>146</v>
      </c>
      <c r="D87" s="358">
        <f>VLOOKUP($A87,[0]!Data,267,FALSE)</f>
        <v>17</v>
      </c>
      <c r="E87" s="358">
        <f>VLOOKUP($A87,[0]!Data,268,FALSE)</f>
        <v>300</v>
      </c>
      <c r="F87" s="358">
        <f>VLOOKUP($A87,[0]!Data,289,FALSE)</f>
        <v>16</v>
      </c>
      <c r="G87" s="358">
        <f>VLOOKUP($A87,[0]!Data,291,FALSE)</f>
        <v>23</v>
      </c>
      <c r="H87" s="358">
        <f>VLOOKUP($A87,[0]!Data,269,FALSE)</f>
        <v>463</v>
      </c>
      <c r="I87" s="358">
        <f>VLOOKUP($A87,[0]!Data,278,FALSE)</f>
        <v>1632</v>
      </c>
      <c r="J87" s="358">
        <f>VLOOKUP($A87,[0]!Data,279,FALSE)</f>
        <v>1174</v>
      </c>
      <c r="K87" s="358">
        <f>VLOOKUP($A87,[0]!Data,280,FALSE)</f>
        <v>8003</v>
      </c>
      <c r="L87" s="358">
        <f>VLOOKUP($A87,[0]!Data,290,FALSE)</f>
        <v>64</v>
      </c>
      <c r="M87" s="358">
        <f>VLOOKUP($A87,[0]!Data,292,FALSE)</f>
        <v>97</v>
      </c>
      <c r="N87" s="358">
        <f>VLOOKUP($A87,[0]!Data,281,FALSE)</f>
        <v>10809</v>
      </c>
      <c r="O87" s="490">
        <f>N87/'Table 1'!D87</f>
        <v>1.0083963056255247</v>
      </c>
      <c r="P87" s="358">
        <f>VLOOKUP($A87,[0]!Data,303,FALSE)</f>
        <v>73</v>
      </c>
      <c r="Q87" s="360">
        <f>VLOOKUP($A87,[0]!Data,304,FALSE)</f>
        <v>1859</v>
      </c>
    </row>
    <row r="88" spans="1:17" x14ac:dyDescent="0.25">
      <c r="A88" s="55" t="s">
        <v>1409</v>
      </c>
      <c r="B88" s="40" t="s">
        <v>1999</v>
      </c>
      <c r="C88" s="358">
        <f>VLOOKUP($A88,[0]!Data,266,FALSE)</f>
        <v>212</v>
      </c>
      <c r="D88" s="358">
        <f>VLOOKUP($A88,[0]!Data,267,FALSE)</f>
        <v>49</v>
      </c>
      <c r="E88" s="358">
        <f>VLOOKUP($A88,[0]!Data,268,FALSE)</f>
        <v>814</v>
      </c>
      <c r="F88" s="358">
        <f>VLOOKUP($A88,[0]!Data,289,FALSE)</f>
        <v>37</v>
      </c>
      <c r="G88" s="358">
        <f>VLOOKUP($A88,[0]!Data,291,FALSE)</f>
        <v>8</v>
      </c>
      <c r="H88" s="358">
        <f>VLOOKUP($A88,[0]!Data,269,FALSE)</f>
        <v>1075</v>
      </c>
      <c r="I88" s="358">
        <f>VLOOKUP($A88,[0]!Data,278,FALSE)</f>
        <v>2683</v>
      </c>
      <c r="J88" s="358">
        <f>VLOOKUP($A88,[0]!Data,279,FALSE)</f>
        <v>1635</v>
      </c>
      <c r="K88" s="358">
        <f>VLOOKUP($A88,[0]!Data,280,FALSE)</f>
        <v>44464</v>
      </c>
      <c r="L88" s="358">
        <f>VLOOKUP($A88,[0]!Data,290,FALSE)</f>
        <v>82</v>
      </c>
      <c r="M88" s="358">
        <f>VLOOKUP($A88,[0]!Data,292,FALSE)</f>
        <v>31</v>
      </c>
      <c r="N88" s="358">
        <f>VLOOKUP($A88,[0]!Data,281,FALSE)</f>
        <v>48782</v>
      </c>
      <c r="O88" s="490">
        <f>N88/'Table 1'!D88</f>
        <v>1.2486433910105457</v>
      </c>
      <c r="P88" s="358">
        <f>VLOOKUP($A88,[0]!Data,303,FALSE)</f>
        <v>198</v>
      </c>
      <c r="Q88" s="360">
        <f>VLOOKUP($A88,[0]!Data,304,FALSE)</f>
        <v>1221</v>
      </c>
    </row>
    <row r="89" spans="1:17" x14ac:dyDescent="0.25">
      <c r="A89" s="55" t="s">
        <v>1245</v>
      </c>
      <c r="B89" s="40" t="s">
        <v>2000</v>
      </c>
      <c r="C89" s="358">
        <f>VLOOKUP($A89,[0]!Data,266,FALSE)</f>
        <v>46</v>
      </c>
      <c r="D89" s="358">
        <f>VLOOKUP($A89,[0]!Data,267,FALSE)</f>
        <v>12</v>
      </c>
      <c r="E89" s="358">
        <f>VLOOKUP($A89,[0]!Data,268,FALSE)</f>
        <v>75</v>
      </c>
      <c r="F89" s="358">
        <f>VLOOKUP($A89,[0]!Data,289,FALSE)</f>
        <v>5</v>
      </c>
      <c r="G89" s="358">
        <f>VLOOKUP($A89,[0]!Data,291,FALSE)</f>
        <v>1</v>
      </c>
      <c r="H89" s="358">
        <f>VLOOKUP($A89,[0]!Data,269,FALSE)</f>
        <v>133</v>
      </c>
      <c r="I89" s="358">
        <f>VLOOKUP($A89,[0]!Data,278,FALSE)</f>
        <v>266</v>
      </c>
      <c r="J89" s="358">
        <f>VLOOKUP($A89,[0]!Data,279,FALSE)</f>
        <v>-1</v>
      </c>
      <c r="K89" s="358">
        <f>VLOOKUP($A89,[0]!Data,280,FALSE)</f>
        <v>910</v>
      </c>
      <c r="L89" s="358">
        <f>VLOOKUP($A89,[0]!Data,290,FALSE)</f>
        <v>0</v>
      </c>
      <c r="M89" s="358">
        <f>VLOOKUP($A89,[0]!Data,292,FALSE)</f>
        <v>0</v>
      </c>
      <c r="N89" s="358">
        <f>VLOOKUP($A89,[0]!Data,281,FALSE)</f>
        <v>1175</v>
      </c>
      <c r="O89" s="490">
        <f>N89/'Table 1'!D89</f>
        <v>0.22462244312750909</v>
      </c>
      <c r="P89" s="358">
        <f>VLOOKUP($A89,[0]!Data,303,FALSE)</f>
        <v>2368</v>
      </c>
      <c r="Q89" s="360">
        <f>VLOOKUP($A89,[0]!Data,304,FALSE)</f>
        <v>0</v>
      </c>
    </row>
    <row r="90" spans="1:17" x14ac:dyDescent="0.25">
      <c r="A90" s="55" t="s">
        <v>1613</v>
      </c>
      <c r="B90" s="40" t="s">
        <v>2001</v>
      </c>
      <c r="C90" s="358">
        <f>VLOOKUP($A90,[0]!Data,266,FALSE)</f>
        <v>64</v>
      </c>
      <c r="D90" s="358">
        <f>VLOOKUP($A90,[0]!Data,267,FALSE)</f>
        <v>29</v>
      </c>
      <c r="E90" s="358">
        <f>VLOOKUP($A90,[0]!Data,268,FALSE)</f>
        <v>66</v>
      </c>
      <c r="F90" s="358">
        <f>VLOOKUP($A90,[0]!Data,289,FALSE)</f>
        <v>0</v>
      </c>
      <c r="G90" s="358">
        <f>VLOOKUP($A90,[0]!Data,291,FALSE)</f>
        <v>0</v>
      </c>
      <c r="H90" s="358">
        <f>VLOOKUP($A90,[0]!Data,269,FALSE)</f>
        <v>159</v>
      </c>
      <c r="I90" s="358">
        <f>VLOOKUP($A90,[0]!Data,278,FALSE)</f>
        <v>842</v>
      </c>
      <c r="J90" s="358">
        <f>VLOOKUP($A90,[0]!Data,279,FALSE)</f>
        <v>270</v>
      </c>
      <c r="K90" s="358">
        <f>VLOOKUP($A90,[0]!Data,280,FALSE)</f>
        <v>2035</v>
      </c>
      <c r="L90" s="358">
        <f>VLOOKUP($A90,[0]!Data,290,FALSE)</f>
        <v>0</v>
      </c>
      <c r="M90" s="358">
        <f>VLOOKUP($A90,[0]!Data,292,FALSE)</f>
        <v>0</v>
      </c>
      <c r="N90" s="358">
        <f>VLOOKUP($A90,[0]!Data,281,FALSE)</f>
        <v>3147</v>
      </c>
      <c r="O90" s="490">
        <f>N90/'Table 1'!D90</f>
        <v>0.20839679491424409</v>
      </c>
      <c r="P90" s="358">
        <f>VLOOKUP($A90,[0]!Data,303,FALSE)</f>
        <v>9</v>
      </c>
      <c r="Q90" s="360">
        <f>VLOOKUP($A90,[0]!Data,304,FALSE)</f>
        <v>61</v>
      </c>
    </row>
    <row r="91" spans="1:17" x14ac:dyDescent="0.25">
      <c r="A91" s="55" t="s">
        <v>1742</v>
      </c>
      <c r="B91" s="40" t="s">
        <v>2002</v>
      </c>
      <c r="C91" s="358">
        <f>VLOOKUP($A91,[0]!Data,266,FALSE)</f>
        <v>67</v>
      </c>
      <c r="D91" s="358">
        <f>VLOOKUP($A91,[0]!Data,267,FALSE)</f>
        <v>9</v>
      </c>
      <c r="E91" s="358">
        <f>VLOOKUP($A91,[0]!Data,268,FALSE)</f>
        <v>612</v>
      </c>
      <c r="F91" s="358">
        <f>VLOOKUP($A91,[0]!Data,289,FALSE)</f>
        <v>1</v>
      </c>
      <c r="G91" s="358">
        <f>VLOOKUP($A91,[0]!Data,291,FALSE)</f>
        <v>8</v>
      </c>
      <c r="H91" s="358">
        <f>VLOOKUP($A91,[0]!Data,269,FALSE)</f>
        <v>688</v>
      </c>
      <c r="I91" s="358">
        <f>VLOOKUP($A91,[0]!Data,278,FALSE)</f>
        <v>1520</v>
      </c>
      <c r="J91" s="358">
        <f>VLOOKUP($A91,[0]!Data,279,FALSE)</f>
        <v>88</v>
      </c>
      <c r="K91" s="358">
        <f>VLOOKUP($A91,[0]!Data,280,FALSE)</f>
        <v>14227</v>
      </c>
      <c r="L91" s="358">
        <f>VLOOKUP($A91,[0]!Data,290,FALSE)</f>
        <v>20</v>
      </c>
      <c r="M91" s="358">
        <f>VLOOKUP($A91,[0]!Data,292,FALSE)</f>
        <v>183</v>
      </c>
      <c r="N91" s="358">
        <f>VLOOKUP($A91,[0]!Data,281,FALSE)</f>
        <v>15835</v>
      </c>
      <c r="O91" s="490">
        <f>N91/'Table 1'!D91</f>
        <v>1.1511340505961034</v>
      </c>
      <c r="P91" s="358">
        <f>VLOOKUP($A91,[0]!Data,303,FALSE)</f>
        <v>7</v>
      </c>
      <c r="Q91" s="360">
        <f>VLOOKUP($A91,[0]!Data,304,FALSE)</f>
        <v>44</v>
      </c>
    </row>
    <row r="92" spans="1:17" x14ac:dyDescent="0.25">
      <c r="A92" s="55" t="s">
        <v>1178</v>
      </c>
      <c r="B92" s="40" t="s">
        <v>2003</v>
      </c>
      <c r="C92" s="358">
        <f>VLOOKUP($A92,[0]!Data,266,FALSE)</f>
        <v>149</v>
      </c>
      <c r="D92" s="358">
        <f>VLOOKUP($A92,[0]!Data,267,FALSE)</f>
        <v>22</v>
      </c>
      <c r="E92" s="358">
        <f>VLOOKUP($A92,[0]!Data,268,FALSE)</f>
        <v>100</v>
      </c>
      <c r="F92" s="358">
        <f>VLOOKUP($A92,[0]!Data,289,FALSE)</f>
        <v>24</v>
      </c>
      <c r="G92" s="358">
        <f>VLOOKUP($A92,[0]!Data,291,FALSE)</f>
        <v>52</v>
      </c>
      <c r="H92" s="358">
        <f>VLOOKUP($A92,[0]!Data,269,FALSE)</f>
        <v>271</v>
      </c>
      <c r="I92" s="358">
        <f>VLOOKUP($A92,[0]!Data,278,FALSE)</f>
        <v>769</v>
      </c>
      <c r="J92" s="358">
        <f>VLOOKUP($A92,[0]!Data,279,FALSE)</f>
        <v>569</v>
      </c>
      <c r="K92" s="358">
        <f>VLOOKUP($A92,[0]!Data,280,FALSE)</f>
        <v>2861</v>
      </c>
      <c r="L92" s="358">
        <f>VLOOKUP($A92,[0]!Data,290,FALSE)</f>
        <v>27</v>
      </c>
      <c r="M92" s="358">
        <f>VLOOKUP($A92,[0]!Data,292,FALSE)</f>
        <v>23</v>
      </c>
      <c r="N92" s="358">
        <f>VLOOKUP($A92,[0]!Data,281,FALSE)</f>
        <v>4199</v>
      </c>
      <c r="O92" s="490">
        <f>N92/'Table 1'!D92</f>
        <v>0.43918000209183139</v>
      </c>
      <c r="P92" s="358">
        <f>VLOOKUP($A92,[0]!Data,303,FALSE)</f>
        <v>452</v>
      </c>
      <c r="Q92" s="360">
        <f>VLOOKUP($A92,[0]!Data,304,FALSE)</f>
        <v>2056</v>
      </c>
    </row>
    <row r="93" spans="1:17" ht="15.75" thickBot="1" x14ac:dyDescent="0.3">
      <c r="A93" s="648" t="s">
        <v>2068</v>
      </c>
      <c r="B93" s="649"/>
      <c r="C93" s="61">
        <f>SUM(C82:C92)</f>
        <v>3042</v>
      </c>
      <c r="D93" s="61">
        <f t="shared" ref="D93:N93" si="2">SUM(D82:D92)</f>
        <v>378</v>
      </c>
      <c r="E93" s="61">
        <f t="shared" si="2"/>
        <v>5942</v>
      </c>
      <c r="F93" s="61">
        <f t="shared" si="2"/>
        <v>119</v>
      </c>
      <c r="G93" s="61">
        <f t="shared" si="2"/>
        <v>898</v>
      </c>
      <c r="H93" s="61">
        <f t="shared" si="2"/>
        <v>9362</v>
      </c>
      <c r="I93" s="61">
        <f t="shared" si="2"/>
        <v>28550</v>
      </c>
      <c r="J93" s="61">
        <f t="shared" si="2"/>
        <v>7037</v>
      </c>
      <c r="K93" s="61">
        <f t="shared" si="2"/>
        <v>160983</v>
      </c>
      <c r="L93" s="61">
        <f t="shared" si="2"/>
        <v>563</v>
      </c>
      <c r="M93" s="61">
        <f t="shared" si="2"/>
        <v>1729</v>
      </c>
      <c r="N93" s="61">
        <f t="shared" si="2"/>
        <v>196570</v>
      </c>
      <c r="O93" s="504">
        <f>AVERAGE(O82:O92)</f>
        <v>0.67847154972708723</v>
      </c>
      <c r="P93" s="484">
        <f>AVERAGE(P82:P92)</f>
        <v>625.09090909090912</v>
      </c>
      <c r="Q93" s="505">
        <f>AVERAGE(Q82:Q92)</f>
        <v>1563.6363636363637</v>
      </c>
    </row>
    <row r="94" spans="1:17" ht="17.25" thickTop="1" thickBot="1" x14ac:dyDescent="0.3">
      <c r="A94" s="142"/>
      <c r="B94" s="18"/>
      <c r="C94" s="67"/>
      <c r="D94" s="67"/>
      <c r="E94" s="421"/>
      <c r="F94" s="67"/>
      <c r="G94" s="67"/>
      <c r="H94" s="76"/>
      <c r="I94" s="76"/>
      <c r="J94" s="76"/>
      <c r="K94" s="76"/>
      <c r="L94" s="76"/>
      <c r="M94" s="76"/>
      <c r="N94" s="76"/>
      <c r="O94" s="421"/>
      <c r="P94" s="421"/>
      <c r="Q94" s="506"/>
    </row>
    <row r="95" spans="1:17" s="90" customFormat="1" ht="14.25" thickTop="1" thickBot="1" x14ac:dyDescent="0.25">
      <c r="A95" s="691" t="s">
        <v>2068</v>
      </c>
      <c r="B95" s="692"/>
      <c r="C95" s="365">
        <f t="shared" ref="C95:N95" si="3">SUM(C82:C92,C68:C79,C8:C57,C59:C65)</f>
        <v>39554</v>
      </c>
      <c r="D95" s="365">
        <f t="shared" si="3"/>
        <v>11968</v>
      </c>
      <c r="E95" s="365">
        <f t="shared" si="3"/>
        <v>94895</v>
      </c>
      <c r="F95" s="365">
        <f t="shared" si="3"/>
        <v>3560</v>
      </c>
      <c r="G95" s="365">
        <f t="shared" si="3"/>
        <v>9552</v>
      </c>
      <c r="H95" s="365">
        <f t="shared" si="3"/>
        <v>146417</v>
      </c>
      <c r="I95" s="365">
        <f t="shared" si="3"/>
        <v>477904</v>
      </c>
      <c r="J95" s="365">
        <f t="shared" si="3"/>
        <v>152735</v>
      </c>
      <c r="K95" s="365">
        <f t="shared" si="3"/>
        <v>2397021</v>
      </c>
      <c r="L95" s="365">
        <f t="shared" si="3"/>
        <v>26821</v>
      </c>
      <c r="M95" s="365">
        <f t="shared" si="3"/>
        <v>30585</v>
      </c>
      <c r="N95" s="365">
        <f t="shared" si="3"/>
        <v>3027660</v>
      </c>
      <c r="O95" s="454">
        <f>AVERAGE(O82:O92,O68:O79,O8:O57,O59:O65)</f>
        <v>0.3135306456847109</v>
      </c>
      <c r="P95" s="365">
        <f>SUM(P82:P92,P68:P79,P8:P57,P59:P65)</f>
        <v>110820</v>
      </c>
      <c r="Q95" s="365">
        <f>SUM(Q82:Q92,Q68:Q79,Q8:Q57,Q59:Q65)</f>
        <v>869694</v>
      </c>
    </row>
    <row r="96" spans="1:17" s="90" customFormat="1" ht="13.5" thickTop="1" x14ac:dyDescent="0.2">
      <c r="A96" s="280"/>
      <c r="B96" s="280" t="s">
        <v>2092</v>
      </c>
      <c r="C96" s="268" t="s">
        <v>1873</v>
      </c>
      <c r="D96" s="268" t="s">
        <v>1873</v>
      </c>
      <c r="E96" s="268" t="s">
        <v>1873</v>
      </c>
      <c r="F96" s="268" t="s">
        <v>1873</v>
      </c>
      <c r="G96" s="268" t="s">
        <v>1873</v>
      </c>
      <c r="H96" s="507" t="s">
        <v>1873</v>
      </c>
      <c r="I96" s="268" t="s">
        <v>1873</v>
      </c>
      <c r="J96" s="268" t="s">
        <v>1873</v>
      </c>
      <c r="K96" s="268" t="s">
        <v>1873</v>
      </c>
      <c r="L96" s="268" t="s">
        <v>1873</v>
      </c>
      <c r="M96" s="268" t="s">
        <v>1873</v>
      </c>
      <c r="N96" s="268" t="s">
        <v>1873</v>
      </c>
      <c r="O96" s="268" t="s">
        <v>2070</v>
      </c>
      <c r="P96" s="268" t="s">
        <v>1873</v>
      </c>
      <c r="Q96" s="268" t="s">
        <v>1873</v>
      </c>
    </row>
  </sheetData>
  <mergeCells count="10">
    <mergeCell ref="C4:H4"/>
    <mergeCell ref="I4:N4"/>
    <mergeCell ref="P4:Q4"/>
    <mergeCell ref="P5:Q5"/>
    <mergeCell ref="A66:B66"/>
    <mergeCell ref="A67:B67"/>
    <mergeCell ref="A80:B80"/>
    <mergeCell ref="A93:B93"/>
    <mergeCell ref="A95:B95"/>
    <mergeCell ref="B4:B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7"/>
  <sheetViews>
    <sheetView workbookViewId="0">
      <selection activeCell="I1" sqref="I1"/>
    </sheetView>
  </sheetViews>
  <sheetFormatPr defaultColWidth="8.85546875" defaultRowHeight="15" x14ac:dyDescent="0.25"/>
  <cols>
    <col min="1" max="1" width="7" customWidth="1"/>
    <col min="2" max="2" width="21.28515625" customWidth="1"/>
    <col min="3" max="3" width="12.28515625" style="508" customWidth="1"/>
    <col min="4" max="4" width="9.7109375" customWidth="1"/>
    <col min="5" max="5" width="10.28515625" customWidth="1"/>
    <col min="6" max="6" width="12" customWidth="1"/>
    <col min="7" max="7" width="15.140625" customWidth="1"/>
    <col min="8" max="8" width="10.42578125" style="535" customWidth="1"/>
    <col min="9" max="9" width="13" style="535" customWidth="1"/>
  </cols>
  <sheetData>
    <row r="1" spans="1:9" x14ac:dyDescent="0.25">
      <c r="A1" s="371"/>
      <c r="B1" s="371"/>
      <c r="D1" s="371"/>
      <c r="E1" s="371"/>
      <c r="F1" s="509"/>
      <c r="G1" s="509"/>
      <c r="H1" s="510"/>
      <c r="I1" s="511" t="s">
        <v>2271</v>
      </c>
    </row>
    <row r="2" spans="1:9" ht="15.75" x14ac:dyDescent="0.25">
      <c r="A2" s="207" t="s">
        <v>2102</v>
      </c>
      <c r="B2" s="512"/>
      <c r="D2" s="371"/>
      <c r="E2" s="371"/>
      <c r="F2" s="509"/>
      <c r="G2" s="509"/>
      <c r="H2" s="510"/>
      <c r="I2" s="22" t="s">
        <v>2004</v>
      </c>
    </row>
    <row r="3" spans="1:9" ht="15.75" thickBot="1" x14ac:dyDescent="0.3">
      <c r="A3" s="371"/>
      <c r="B3" s="371"/>
      <c r="C3" s="538"/>
      <c r="D3" s="371"/>
      <c r="E3" s="371"/>
      <c r="F3" s="509"/>
      <c r="G3" s="509"/>
      <c r="H3" s="510"/>
      <c r="I3" s="510"/>
    </row>
    <row r="4" spans="1:9" ht="15.75" thickTop="1" x14ac:dyDescent="0.25">
      <c r="A4" s="96"/>
      <c r="B4" s="536"/>
      <c r="C4" s="513"/>
      <c r="D4" s="699" t="s">
        <v>2103</v>
      </c>
      <c r="E4" s="700"/>
      <c r="F4" s="701"/>
      <c r="G4" s="468"/>
      <c r="H4" s="514"/>
      <c r="I4" s="515"/>
    </row>
    <row r="5" spans="1:9" x14ac:dyDescent="0.25">
      <c r="A5" s="99"/>
      <c r="B5" s="516"/>
      <c r="C5" s="537"/>
      <c r="D5" s="496"/>
      <c r="E5" s="494"/>
      <c r="F5" s="146" t="s">
        <v>2104</v>
      </c>
      <c r="G5" s="474" t="s">
        <v>2105</v>
      </c>
      <c r="H5" s="517" t="s">
        <v>2106</v>
      </c>
      <c r="I5" s="518"/>
    </row>
    <row r="6" spans="1:9" x14ac:dyDescent="0.25">
      <c r="A6" s="99"/>
      <c r="B6" s="516"/>
      <c r="C6" s="476" t="s">
        <v>2107</v>
      </c>
      <c r="D6" s="519" t="s">
        <v>1885</v>
      </c>
      <c r="E6" s="474"/>
      <c r="F6" s="217">
        <v>5000</v>
      </c>
      <c r="G6" s="474" t="s">
        <v>2108</v>
      </c>
      <c r="H6" s="520" t="s">
        <v>2109</v>
      </c>
      <c r="I6" s="518" t="s">
        <v>2110</v>
      </c>
    </row>
    <row r="7" spans="1:9" ht="15.75" thickBot="1" x14ac:dyDescent="0.3">
      <c r="A7" s="103"/>
      <c r="B7" s="521"/>
      <c r="C7" s="476" t="s">
        <v>2111</v>
      </c>
      <c r="D7" s="500" t="s">
        <v>2112</v>
      </c>
      <c r="E7" s="477" t="s">
        <v>2113</v>
      </c>
      <c r="F7" s="150" t="s">
        <v>1881</v>
      </c>
      <c r="G7" s="477" t="s">
        <v>2087</v>
      </c>
      <c r="H7" s="522" t="s">
        <v>2114</v>
      </c>
      <c r="I7" s="523" t="s">
        <v>2080</v>
      </c>
    </row>
    <row r="8" spans="1:9" ht="16.5" thickTop="1" thickBot="1" x14ac:dyDescent="0.3">
      <c r="A8" s="34"/>
      <c r="B8" s="49" t="s">
        <v>1863</v>
      </c>
      <c r="C8" s="37"/>
      <c r="D8" s="37"/>
      <c r="E8" s="37"/>
      <c r="F8" s="37"/>
      <c r="G8" s="37"/>
      <c r="H8" s="37"/>
      <c r="I8" s="39"/>
    </row>
    <row r="9" spans="1:9" ht="15.75" thickTop="1" x14ac:dyDescent="0.25">
      <c r="A9" s="40" t="str">
        <f>'[2]Table 11'!A8</f>
        <v>NC0103</v>
      </c>
      <c r="B9" s="539" t="str">
        <f>'[2]Table 11'!B8</f>
        <v>Alamance</v>
      </c>
      <c r="C9" s="540">
        <f>VLOOKUP($A9,[0]!Data,241,FALSE)</f>
        <v>2991</v>
      </c>
      <c r="D9" s="358">
        <f>VLOOKUP($A9,[0]!Data,307,FALSE)</f>
        <v>79</v>
      </c>
      <c r="E9" s="358">
        <f>VLOOKUP($A9,[0]!Data,308,FALSE)</f>
        <v>158</v>
      </c>
      <c r="F9" s="490">
        <f>E9/('Table 1'!D8/5000)</f>
        <v>4.9668665987651988</v>
      </c>
      <c r="G9" s="358">
        <f>VLOOKUP($A9,[0]!Data,309,FALSE)</f>
        <v>110252</v>
      </c>
      <c r="H9" s="358">
        <f>VLOOKUP($A9,[0]!Data,312,FALSE)</f>
        <v>0</v>
      </c>
      <c r="I9" s="368">
        <f>VLOOKUP($A9,[0]!Data,311,FALSE)</f>
        <v>319913</v>
      </c>
    </row>
    <row r="10" spans="1:9" x14ac:dyDescent="0.25">
      <c r="A10" s="40" t="str">
        <f>'[2]Table 11'!A9</f>
        <v>NC0016</v>
      </c>
      <c r="B10" s="41" t="str">
        <f>'[2]Table 11'!B9</f>
        <v>Alexander</v>
      </c>
      <c r="C10" s="428">
        <f>VLOOKUP($A10,[0]!Data,241,FALSE)</f>
        <v>24</v>
      </c>
      <c r="D10" s="358">
        <f>VLOOKUP($A10,[0]!Data,307,FALSE)</f>
        <v>12</v>
      </c>
      <c r="E10" s="358">
        <f>VLOOKUP($A10,[0]!Data,308,FALSE)</f>
        <v>13</v>
      </c>
      <c r="F10" s="490">
        <f>E10/('Table 1'!D9/5000)</f>
        <v>1.6978372165917879</v>
      </c>
      <c r="G10" s="358">
        <f>VLOOKUP($A10,[0]!Data,309,FALSE)</f>
        <v>12173</v>
      </c>
      <c r="H10" s="358">
        <f>VLOOKUP($A10,[0]!Data,312,FALSE)</f>
        <v>1966</v>
      </c>
      <c r="I10" s="360">
        <f>VLOOKUP($A10,[0]!Data,311,FALSE)</f>
        <v>46012</v>
      </c>
    </row>
    <row r="11" spans="1:9" x14ac:dyDescent="0.25">
      <c r="A11" s="40" t="str">
        <f>'[2]Table 11'!A10</f>
        <v>NC0017</v>
      </c>
      <c r="B11" s="41" t="str">
        <f>'[2]Table 11'!B10</f>
        <v>Bladen</v>
      </c>
      <c r="C11" s="428">
        <f>VLOOKUP($A11,[0]!Data,241,FALSE)</f>
        <v>0</v>
      </c>
      <c r="D11" s="358">
        <f>VLOOKUP($A11,[0]!Data,307,FALSE)</f>
        <v>14</v>
      </c>
      <c r="E11" s="358">
        <f>VLOOKUP($A11,[0]!Data,308,FALSE)</f>
        <v>13</v>
      </c>
      <c r="F11" s="490">
        <f>E11/('Table 1'!D10/5000)</f>
        <v>1.8749819713271989</v>
      </c>
      <c r="G11" s="358">
        <f>VLOOKUP($A11,[0]!Data,309,FALSE)</f>
        <v>8272</v>
      </c>
      <c r="H11" s="358">
        <f>VLOOKUP($A11,[0]!Data,312,FALSE)</f>
        <v>0</v>
      </c>
      <c r="I11" s="360">
        <f>VLOOKUP($A11,[0]!Data,311,FALSE)</f>
        <v>16280</v>
      </c>
    </row>
    <row r="12" spans="1:9" x14ac:dyDescent="0.25">
      <c r="A12" s="40" t="str">
        <f>'[2]Table 11'!A11</f>
        <v>NC0018</v>
      </c>
      <c r="B12" s="41" t="str">
        <f>'[2]Table 11'!B11</f>
        <v>Brunswick</v>
      </c>
      <c r="C12" s="428">
        <f>VLOOKUP($A12,[0]!Data,241,FALSE)</f>
        <v>0</v>
      </c>
      <c r="D12" s="358">
        <f>VLOOKUP($A12,[0]!Data,307,FALSE)</f>
        <v>16</v>
      </c>
      <c r="E12" s="358">
        <f>VLOOKUP($A12,[0]!Data,308,FALSE)</f>
        <v>65</v>
      </c>
      <c r="F12" s="490">
        <f>E12/('Table 1'!D11/5000)</f>
        <v>2.5440313111545989</v>
      </c>
      <c r="G12" s="358">
        <f>VLOOKUP($A12,[0]!Data,309,FALSE)</f>
        <v>76173</v>
      </c>
      <c r="H12" s="358">
        <f>VLOOKUP($A12,[0]!Data,312,FALSE)</f>
        <v>14071</v>
      </c>
      <c r="I12" s="360">
        <f>VLOOKUP($A12,[0]!Data,311,FALSE)</f>
        <v>0</v>
      </c>
    </row>
    <row r="13" spans="1:9" x14ac:dyDescent="0.25">
      <c r="A13" s="40" t="str">
        <f>'[2]Table 11'!A12</f>
        <v>NC0019</v>
      </c>
      <c r="B13" s="41" t="str">
        <f>'[2]Table 11'!B12</f>
        <v>Buncombe</v>
      </c>
      <c r="C13" s="428">
        <f>VLOOKUP($A13,[0]!Data,241,FALSE)</f>
        <v>1134</v>
      </c>
      <c r="D13" s="358">
        <f>VLOOKUP($A13,[0]!Data,307,FALSE)</f>
        <v>82</v>
      </c>
      <c r="E13" s="358">
        <f>VLOOKUP($A13,[0]!Data,308,FALSE)</f>
        <v>162</v>
      </c>
      <c r="F13" s="490">
        <f>E13/('Table 1'!D12/5000)</f>
        <v>3.1346021377212607</v>
      </c>
      <c r="G13" s="358">
        <f>VLOOKUP($A13,[0]!Data,309,FALSE)</f>
        <v>92771</v>
      </c>
      <c r="H13" s="358">
        <f>VLOOKUP($A13,[0]!Data,312,FALSE)</f>
        <v>29258</v>
      </c>
      <c r="I13" s="360">
        <f>VLOOKUP($A13,[0]!Data,311,FALSE)</f>
        <v>220500</v>
      </c>
    </row>
    <row r="14" spans="1:9" x14ac:dyDescent="0.25">
      <c r="A14" s="40" t="str">
        <f>'[2]Table 11'!A13</f>
        <v>NC0020</v>
      </c>
      <c r="B14" s="41" t="str">
        <f>'[2]Table 11'!B13</f>
        <v>Burke</v>
      </c>
      <c r="C14" s="428">
        <f>VLOOKUP($A14,[0]!Data,241,FALSE)</f>
        <v>-1</v>
      </c>
      <c r="D14" s="358">
        <f>VLOOKUP($A14,[0]!Data,307,FALSE)</f>
        <v>35</v>
      </c>
      <c r="E14" s="358">
        <f>VLOOKUP($A14,[0]!Data,308,FALSE)</f>
        <v>37</v>
      </c>
      <c r="F14" s="490">
        <f>E14/('Table 1'!D13/5000)</f>
        <v>2.061350240119447</v>
      </c>
      <c r="G14" s="358">
        <f>VLOOKUP($A14,[0]!Data,309,FALSE)</f>
        <v>32742</v>
      </c>
      <c r="H14" s="358">
        <f>VLOOKUP($A14,[0]!Data,312,FALSE)</f>
        <v>0</v>
      </c>
      <c r="I14" s="360">
        <f>VLOOKUP($A14,[0]!Data,311,FALSE)</f>
        <v>161622</v>
      </c>
    </row>
    <row r="15" spans="1:9" x14ac:dyDescent="0.25">
      <c r="A15" s="40" t="str">
        <f>'[2]Table 11'!A14</f>
        <v>NC0021</v>
      </c>
      <c r="B15" s="41" t="str">
        <f>'[2]Table 11'!B14</f>
        <v>Cabarrus</v>
      </c>
      <c r="C15" s="428">
        <f>VLOOKUP($A15,[0]!Data,241,FALSE)</f>
        <v>951</v>
      </c>
      <c r="D15" s="358">
        <f>VLOOKUP($A15,[0]!Data,307,FALSE)</f>
        <v>54</v>
      </c>
      <c r="E15" s="358">
        <f>VLOOKUP($A15,[0]!Data,308,FALSE)</f>
        <v>62</v>
      </c>
      <c r="F15" s="490">
        <f>E15/('Table 1'!D14/5000)</f>
        <v>1.5448787270199291</v>
      </c>
      <c r="G15" s="358">
        <f>VLOOKUP($A15,[0]!Data,309,FALSE)</f>
        <v>54970</v>
      </c>
      <c r="H15" s="358">
        <f>VLOOKUP($A15,[0]!Data,312,FALSE)</f>
        <v>0</v>
      </c>
      <c r="I15" s="360">
        <f>VLOOKUP($A15,[0]!Data,311,FALSE)</f>
        <v>0</v>
      </c>
    </row>
    <row r="16" spans="1:9" x14ac:dyDescent="0.25">
      <c r="A16" s="40" t="str">
        <f>'[2]Table 11'!A15</f>
        <v>NC0022</v>
      </c>
      <c r="B16" s="41" t="str">
        <f>'[2]Table 11'!B15</f>
        <v>Caldwell</v>
      </c>
      <c r="C16" s="428">
        <f>VLOOKUP($A16,[0]!Data,241,FALSE)</f>
        <v>0</v>
      </c>
      <c r="D16" s="358">
        <f>VLOOKUP($A16,[0]!Data,307,FALSE)</f>
        <v>33</v>
      </c>
      <c r="E16" s="358">
        <f>VLOOKUP($A16,[0]!Data,308,FALSE)</f>
        <v>43</v>
      </c>
      <c r="F16" s="490">
        <f>E16/('Table 1'!D15/5000)</f>
        <v>2.5974967380273521</v>
      </c>
      <c r="G16" s="358">
        <f>VLOOKUP($A16,[0]!Data,309,FALSE)</f>
        <v>41243</v>
      </c>
      <c r="H16" s="358">
        <f>VLOOKUP($A16,[0]!Data,312,FALSE)</f>
        <v>0</v>
      </c>
      <c r="I16" s="360">
        <f>VLOOKUP($A16,[0]!Data,311,FALSE)</f>
        <v>0</v>
      </c>
    </row>
    <row r="17" spans="1:9" x14ac:dyDescent="0.25">
      <c r="A17" s="40" t="str">
        <f>'[2]Table 11'!A16</f>
        <v>NC0107</v>
      </c>
      <c r="B17" s="41" t="str">
        <f>'[2]Table 11'!B16</f>
        <v>Caswell</v>
      </c>
      <c r="C17" s="428">
        <f>VLOOKUP($A17,[0]!Data,241,FALSE)</f>
        <v>1421</v>
      </c>
      <c r="D17" s="358">
        <f>VLOOKUP($A17,[0]!Data,307,FALSE)</f>
        <v>9</v>
      </c>
      <c r="E17" s="358">
        <f>VLOOKUP($A17,[0]!Data,308,FALSE)</f>
        <v>31</v>
      </c>
      <c r="F17" s="490">
        <f>E17/('Table 1'!D16/5000)</f>
        <v>6.5431212799189495</v>
      </c>
      <c r="G17" s="358">
        <f>VLOOKUP($A17,[0]!Data,309,FALSE)</f>
        <v>10444</v>
      </c>
      <c r="H17" s="358">
        <f>VLOOKUP($A17,[0]!Data,312,FALSE)</f>
        <v>1223</v>
      </c>
      <c r="I17" s="360">
        <f>VLOOKUP($A17,[0]!Data,311,FALSE)</f>
        <v>0</v>
      </c>
    </row>
    <row r="18" spans="1:9" x14ac:dyDescent="0.25">
      <c r="A18" s="40" t="str">
        <f>'[2]Table 11'!A17</f>
        <v>NC0023</v>
      </c>
      <c r="B18" s="41" t="str">
        <f>'[2]Table 11'!B17</f>
        <v>Catawba</v>
      </c>
      <c r="C18" s="428">
        <f>VLOOKUP($A18,[0]!Data,241,FALSE)</f>
        <v>65</v>
      </c>
      <c r="D18" s="358">
        <f>VLOOKUP($A18,[0]!Data,307,FALSE)</f>
        <v>60</v>
      </c>
      <c r="E18" s="358">
        <f>VLOOKUP($A18,[0]!Data,308,FALSE)</f>
        <v>129</v>
      </c>
      <c r="F18" s="490">
        <f>E18/('Table 1'!D17/5000)</f>
        <v>5.555172770179488</v>
      </c>
      <c r="G18" s="358">
        <f>VLOOKUP($A18,[0]!Data,309,FALSE)</f>
        <v>79546</v>
      </c>
      <c r="H18" s="358">
        <f>VLOOKUP($A18,[0]!Data,312,FALSE)</f>
        <v>0</v>
      </c>
      <c r="I18" s="360">
        <f>VLOOKUP($A18,[0]!Data,311,FALSE)</f>
        <v>1062236</v>
      </c>
    </row>
    <row r="19" spans="1:9" x14ac:dyDescent="0.25">
      <c r="A19" s="40" t="str">
        <f>'[2]Table 11'!A18</f>
        <v>NC0104</v>
      </c>
      <c r="B19" s="41" t="str">
        <f>'[2]Table 11'!B18</f>
        <v>Chatham</v>
      </c>
      <c r="C19" s="428">
        <f>VLOOKUP($A19,[0]!Data,241,FALSE)</f>
        <v>16</v>
      </c>
      <c r="D19" s="358">
        <f>VLOOKUP($A19,[0]!Data,307,FALSE)</f>
        <v>24</v>
      </c>
      <c r="E19" s="358">
        <f>VLOOKUP($A19,[0]!Data,308,FALSE)</f>
        <v>57</v>
      </c>
      <c r="F19" s="490">
        <f>E19/('Table 1'!D18/5000)</f>
        <v>3.8888737275878067</v>
      </c>
      <c r="G19" s="358">
        <f>VLOOKUP($A19,[0]!Data,309,FALSE)</f>
        <v>29435</v>
      </c>
      <c r="H19" s="358">
        <f>VLOOKUP($A19,[0]!Data,312,FALSE)</f>
        <v>0</v>
      </c>
      <c r="I19" s="360">
        <f>VLOOKUP($A19,[0]!Data,311,FALSE)</f>
        <v>0</v>
      </c>
    </row>
    <row r="20" spans="1:9" x14ac:dyDescent="0.25">
      <c r="A20" s="40" t="str">
        <f>'[2]Table 11'!A19</f>
        <v>NC0024</v>
      </c>
      <c r="B20" s="41" t="str">
        <f>'[2]Table 11'!B19</f>
        <v>Cleveland</v>
      </c>
      <c r="C20" s="428">
        <f>VLOOKUP($A20,[0]!Data,241,FALSE)</f>
        <v>0</v>
      </c>
      <c r="D20" s="358">
        <f>VLOOKUP($A20,[0]!Data,307,FALSE)</f>
        <v>23</v>
      </c>
      <c r="E20" s="358">
        <f>VLOOKUP($A20,[0]!Data,308,FALSE)</f>
        <v>32</v>
      </c>
      <c r="F20" s="490">
        <f>E20/('Table 1'!D19/5000)</f>
        <v>1.8058486924526813</v>
      </c>
      <c r="G20" s="358">
        <f>VLOOKUP($A20,[0]!Data,309,FALSE)</f>
        <v>26820</v>
      </c>
      <c r="H20" s="358">
        <f>VLOOKUP($A20,[0]!Data,312,FALSE)</f>
        <v>0</v>
      </c>
      <c r="I20" s="360">
        <f>VLOOKUP($A20,[0]!Data,311,FALSE)</f>
        <v>121856</v>
      </c>
    </row>
    <row r="21" spans="1:9" x14ac:dyDescent="0.25">
      <c r="A21" s="40" t="str">
        <f>'[2]Table 11'!A20</f>
        <v>NC0025</v>
      </c>
      <c r="B21" s="41" t="str">
        <f>'[2]Table 11'!B20</f>
        <v>Columbus</v>
      </c>
      <c r="C21" s="428">
        <f>VLOOKUP($A21,[0]!Data,241,FALSE)</f>
        <v>269</v>
      </c>
      <c r="D21" s="358">
        <f>VLOOKUP($A21,[0]!Data,307,FALSE)</f>
        <v>47</v>
      </c>
      <c r="E21" s="358">
        <f>VLOOKUP($A21,[0]!Data,308,FALSE)</f>
        <v>92</v>
      </c>
      <c r="F21" s="490">
        <f>E21/('Table 1'!D20/5000)</f>
        <v>8.0444895246755959</v>
      </c>
      <c r="G21" s="358">
        <f>VLOOKUP($A21,[0]!Data,309,FALSE)</f>
        <v>45396</v>
      </c>
      <c r="H21" s="358">
        <f>VLOOKUP($A21,[0]!Data,312,FALSE)</f>
        <v>21705</v>
      </c>
      <c r="I21" s="360">
        <f>VLOOKUP($A21,[0]!Data,311,FALSE)</f>
        <v>0</v>
      </c>
    </row>
    <row r="22" spans="1:9" x14ac:dyDescent="0.25">
      <c r="A22" s="40" t="str">
        <f>'[2]Table 11'!A21</f>
        <v>NC0026</v>
      </c>
      <c r="B22" s="41" t="str">
        <f>'[2]Table 11'!B21</f>
        <v>Cumberland</v>
      </c>
      <c r="C22" s="428">
        <f>VLOOKUP($A22,[0]!Data,241,FALSE)</f>
        <v>17223</v>
      </c>
      <c r="D22" s="358">
        <f>VLOOKUP($A22,[0]!Data,307,FALSE)</f>
        <v>227</v>
      </c>
      <c r="E22" s="358">
        <f>VLOOKUP($A22,[0]!Data,308,FALSE)</f>
        <v>434</v>
      </c>
      <c r="F22" s="490">
        <f>E22/('Table 1'!D21/5000)</f>
        <v>6.5792665179004564</v>
      </c>
      <c r="G22" s="358">
        <f>VLOOKUP($A22,[0]!Data,309,FALSE)</f>
        <v>300010</v>
      </c>
      <c r="H22" s="358">
        <f>VLOOKUP($A22,[0]!Data,312,FALSE)</f>
        <v>542389</v>
      </c>
      <c r="I22" s="360">
        <f>VLOOKUP($A22,[0]!Data,311,FALSE)</f>
        <v>467190</v>
      </c>
    </row>
    <row r="23" spans="1:9" x14ac:dyDescent="0.25">
      <c r="A23" s="40" t="str">
        <f>'[2]Table 11'!A22</f>
        <v>NC0027</v>
      </c>
      <c r="B23" s="41" t="str">
        <f>'[2]Table 11'!B22</f>
        <v>Davidson</v>
      </c>
      <c r="C23" s="428">
        <f>VLOOKUP($A23,[0]!Data,241,FALSE)</f>
        <v>8516</v>
      </c>
      <c r="D23" s="358">
        <f>VLOOKUP($A23,[0]!Data,307,FALSE)</f>
        <v>78</v>
      </c>
      <c r="E23" s="358">
        <f>VLOOKUP($A23,[0]!Data,308,FALSE)</f>
        <v>126</v>
      </c>
      <c r="F23" s="490">
        <f>E23/('Table 1'!D22/5000)</f>
        <v>3.9343525179856118</v>
      </c>
      <c r="G23" s="358">
        <f>VLOOKUP($A23,[0]!Data,309,FALSE)</f>
        <v>65814</v>
      </c>
      <c r="H23" s="358">
        <f>VLOOKUP($A23,[0]!Data,312,FALSE)</f>
        <v>0</v>
      </c>
      <c r="I23" s="360">
        <f>VLOOKUP($A23,[0]!Data,311,FALSE)</f>
        <v>320698</v>
      </c>
    </row>
    <row r="24" spans="1:9" x14ac:dyDescent="0.25">
      <c r="A24" s="40" t="str">
        <f>'[2]Table 11'!A23</f>
        <v>NC0028</v>
      </c>
      <c r="B24" s="41" t="str">
        <f>'[2]Table 11'!B23</f>
        <v>Davie</v>
      </c>
      <c r="C24" s="428">
        <f>VLOOKUP($A24,[0]!Data,241,FALSE)</f>
        <v>6045</v>
      </c>
      <c r="D24" s="358">
        <f>VLOOKUP($A24,[0]!Data,307,FALSE)</f>
        <v>17</v>
      </c>
      <c r="E24" s="358">
        <f>VLOOKUP($A24,[0]!Data,308,FALSE)</f>
        <v>44</v>
      </c>
      <c r="F24" s="490">
        <f>E24/('Table 1'!D23/5000)</f>
        <v>5.2119115870270782</v>
      </c>
      <c r="G24" s="358">
        <f>VLOOKUP($A24,[0]!Data,309,FALSE)</f>
        <v>12520</v>
      </c>
      <c r="H24" s="358">
        <f>VLOOKUP($A24,[0]!Data,312,FALSE)</f>
        <v>6952</v>
      </c>
      <c r="I24" s="360">
        <f>VLOOKUP($A24,[0]!Data,311,FALSE)</f>
        <v>18017</v>
      </c>
    </row>
    <row r="25" spans="1:9" x14ac:dyDescent="0.25">
      <c r="A25" s="40" t="str">
        <f>'[2]Table 11'!A24</f>
        <v>NC0029</v>
      </c>
      <c r="B25" s="41" t="str">
        <f>'[2]Table 11'!B24</f>
        <v>Duplin</v>
      </c>
      <c r="C25" s="428">
        <f>VLOOKUP($A25,[0]!Data,241,FALSE)</f>
        <v>0</v>
      </c>
      <c r="D25" s="358">
        <f>VLOOKUP($A25,[0]!Data,307,FALSE)</f>
        <v>14</v>
      </c>
      <c r="E25" s="358">
        <f>VLOOKUP($A25,[0]!Data,308,FALSE)</f>
        <v>42</v>
      </c>
      <c r="F25" s="490">
        <f>E25/('Table 1'!D24/5000)</f>
        <v>3.5236672986895314</v>
      </c>
      <c r="G25" s="358">
        <f>VLOOKUP($A25,[0]!Data,309,FALSE)</f>
        <v>7965</v>
      </c>
      <c r="H25" s="358">
        <f>VLOOKUP($A25,[0]!Data,312,FALSE)</f>
        <v>0</v>
      </c>
      <c r="I25" s="360">
        <f>VLOOKUP($A25,[0]!Data,311,FALSE)</f>
        <v>0</v>
      </c>
    </row>
    <row r="26" spans="1:9" x14ac:dyDescent="0.25">
      <c r="A26" s="40" t="str">
        <f>'[2]Table 11'!A25</f>
        <v>NC0030</v>
      </c>
      <c r="B26" s="41" t="str">
        <f>'[2]Table 11'!B25</f>
        <v>Durham</v>
      </c>
      <c r="C26" s="428">
        <f>VLOOKUP($A26,[0]!Data,241,FALSE)</f>
        <v>3645</v>
      </c>
      <c r="D26" s="358">
        <f>VLOOKUP($A26,[0]!Data,307,FALSE)</f>
        <v>159</v>
      </c>
      <c r="E26" s="358">
        <f>VLOOKUP($A26,[0]!Data,308,FALSE)</f>
        <v>179</v>
      </c>
      <c r="F26" s="490">
        <f>E26/('Table 1'!D25/5000)</f>
        <v>2.9997318675425664</v>
      </c>
      <c r="G26" s="358">
        <f>VLOOKUP($A26,[0]!Data,309,FALSE)</f>
        <v>277664</v>
      </c>
      <c r="H26" s="358">
        <f>VLOOKUP($A26,[0]!Data,312,FALSE)</f>
        <v>0</v>
      </c>
      <c r="I26" s="360">
        <f>VLOOKUP($A26,[0]!Data,311,FALSE)</f>
        <v>1602850</v>
      </c>
    </row>
    <row r="27" spans="1:9" x14ac:dyDescent="0.25">
      <c r="A27" s="40" t="str">
        <f>'[2]Table 11'!A26</f>
        <v>NC0031</v>
      </c>
      <c r="B27" s="41" t="str">
        <f>'[2]Table 11'!B26</f>
        <v>Edgecombe</v>
      </c>
      <c r="C27" s="428">
        <f>VLOOKUP($A27,[0]!Data,241,FALSE)</f>
        <v>99</v>
      </c>
      <c r="D27" s="358">
        <f>VLOOKUP($A27,[0]!Data,307,FALSE)</f>
        <v>18</v>
      </c>
      <c r="E27" s="358">
        <f>VLOOKUP($A27,[0]!Data,308,FALSE)</f>
        <v>34</v>
      </c>
      <c r="F27" s="490">
        <f>E27/('Table 1'!D26/5000)</f>
        <v>3.177451310231393</v>
      </c>
      <c r="G27" s="358">
        <f>VLOOKUP($A27,[0]!Data,309,FALSE)</f>
        <v>26686</v>
      </c>
      <c r="H27" s="358">
        <f>VLOOKUP($A27,[0]!Data,312,FALSE)</f>
        <v>35645</v>
      </c>
      <c r="I27" s="360">
        <f>VLOOKUP($A27,[0]!Data,311,FALSE)</f>
        <v>68642</v>
      </c>
    </row>
    <row r="28" spans="1:9" x14ac:dyDescent="0.25">
      <c r="A28" s="40" t="str">
        <f>'[2]Table 11'!A27</f>
        <v>NC0032</v>
      </c>
      <c r="B28" s="41" t="str">
        <f>'[2]Table 11'!B27</f>
        <v>Forsyth</v>
      </c>
      <c r="C28" s="428">
        <f>VLOOKUP($A28,[0]!Data,241,FALSE)</f>
        <v>421</v>
      </c>
      <c r="D28" s="358">
        <f>VLOOKUP($A28,[0]!Data,307,FALSE)</f>
        <v>113</v>
      </c>
      <c r="E28" s="358">
        <f>VLOOKUP($A28,[0]!Data,308,FALSE)</f>
        <v>116</v>
      </c>
      <c r="F28" s="490">
        <f>E28/('Table 1'!D27/5000)</f>
        <v>1.5713345235740819</v>
      </c>
      <c r="G28" s="358">
        <f>VLOOKUP($A28,[0]!Data,309,FALSE)</f>
        <v>283723</v>
      </c>
      <c r="H28" s="358">
        <f>VLOOKUP($A28,[0]!Data,312,FALSE)</f>
        <v>-1</v>
      </c>
      <c r="I28" s="360">
        <f>VLOOKUP($A28,[0]!Data,311,FALSE)</f>
        <v>2637709</v>
      </c>
    </row>
    <row r="29" spans="1:9" x14ac:dyDescent="0.25">
      <c r="A29" s="40" t="str">
        <f>'[2]Table 11'!A28</f>
        <v>NC0033</v>
      </c>
      <c r="B29" s="41" t="str">
        <f>'[2]Table 11'!B28</f>
        <v>Franklin</v>
      </c>
      <c r="C29" s="428">
        <f>VLOOKUP($A29,[0]!Data,241,FALSE)</f>
        <v>-1</v>
      </c>
      <c r="D29" s="358">
        <f>VLOOKUP($A29,[0]!Data,307,FALSE)</f>
        <v>19</v>
      </c>
      <c r="E29" s="358">
        <f>VLOOKUP($A29,[0]!Data,308,FALSE)</f>
        <v>35</v>
      </c>
      <c r="F29" s="490">
        <f>E29/('Table 1'!D28/5000)</f>
        <v>2.6740010696004277</v>
      </c>
      <c r="G29" s="358">
        <f>VLOOKUP($A29,[0]!Data,309,FALSE)</f>
        <v>22603</v>
      </c>
      <c r="H29" s="358">
        <f>VLOOKUP($A29,[0]!Data,312,FALSE)</f>
        <v>5170</v>
      </c>
      <c r="I29" s="360">
        <f>VLOOKUP($A29,[0]!Data,311,FALSE)</f>
        <v>18520</v>
      </c>
    </row>
    <row r="30" spans="1:9" x14ac:dyDescent="0.25">
      <c r="A30" s="40" t="str">
        <f>'[2]Table 11'!A29</f>
        <v>NC0105</v>
      </c>
      <c r="B30" s="41" t="str">
        <f>'[2]Table 11'!B29</f>
        <v>Gaston</v>
      </c>
      <c r="C30" s="428">
        <f>VLOOKUP($A30,[0]!Data,241,FALSE)</f>
        <v>10821</v>
      </c>
      <c r="D30" s="358">
        <f>VLOOKUP($A30,[0]!Data,307,FALSE)</f>
        <v>64</v>
      </c>
      <c r="E30" s="358">
        <f>VLOOKUP($A30,[0]!Data,308,FALSE)</f>
        <v>84</v>
      </c>
      <c r="F30" s="490">
        <f>E30/('Table 1'!D29/5000)</f>
        <v>1.9588364511480183</v>
      </c>
      <c r="G30" s="358">
        <f>VLOOKUP($A30,[0]!Data,309,FALSE)</f>
        <v>107358</v>
      </c>
      <c r="H30" s="358">
        <f>VLOOKUP($A30,[0]!Data,312,FALSE)</f>
        <v>61194</v>
      </c>
      <c r="I30" s="360">
        <f>VLOOKUP($A30,[0]!Data,311,FALSE)</f>
        <v>195531</v>
      </c>
    </row>
    <row r="31" spans="1:9" x14ac:dyDescent="0.25">
      <c r="A31" s="40" t="str">
        <f>'[2]Table 11'!A30</f>
        <v>NC0034</v>
      </c>
      <c r="B31" s="41" t="str">
        <f>'[2]Table 11'!B30</f>
        <v>Granville</v>
      </c>
      <c r="C31" s="428">
        <f>VLOOKUP($A31,[0]!Data,241,FALSE)</f>
        <v>-1</v>
      </c>
      <c r="D31" s="358">
        <f>VLOOKUP($A31,[0]!Data,307,FALSE)</f>
        <v>22</v>
      </c>
      <c r="E31" s="358">
        <f>VLOOKUP($A31,[0]!Data,308,FALSE)</f>
        <v>46</v>
      </c>
      <c r="F31" s="490">
        <f>E31/('Table 1'!D30/5000)</f>
        <v>3.869903925428634</v>
      </c>
      <c r="G31" s="358">
        <f>VLOOKUP($A31,[0]!Data,309,FALSE)</f>
        <v>56883</v>
      </c>
      <c r="H31" s="358">
        <f>VLOOKUP($A31,[0]!Data,312,FALSE)</f>
        <v>0</v>
      </c>
      <c r="I31" s="360">
        <f>VLOOKUP($A31,[0]!Data,311,FALSE)</f>
        <v>0</v>
      </c>
    </row>
    <row r="32" spans="1:9" x14ac:dyDescent="0.25">
      <c r="A32" s="40" t="str">
        <f>'[2]Table 11'!A31</f>
        <v>NC0035</v>
      </c>
      <c r="B32" s="41" t="str">
        <f>'[2]Table 11'!B31</f>
        <v>Guilford (Greensboro)</v>
      </c>
      <c r="C32" s="428">
        <f>VLOOKUP($A32,[0]!Data,241,FALSE)</f>
        <v>3248</v>
      </c>
      <c r="D32" s="358">
        <f>VLOOKUP($A32,[0]!Data,307,FALSE)</f>
        <v>124</v>
      </c>
      <c r="E32" s="358">
        <f>VLOOKUP($A32,[0]!Data,308,FALSE)</f>
        <v>256</v>
      </c>
      <c r="F32" s="490">
        <f>E32/('Table 1'!D31/5000)</f>
        <v>3.0766568277745194</v>
      </c>
      <c r="G32" s="358">
        <f>VLOOKUP($A32,[0]!Data,309,FALSE)</f>
        <v>351983</v>
      </c>
      <c r="H32" s="358">
        <f>VLOOKUP($A32,[0]!Data,312,FALSE)</f>
        <v>0</v>
      </c>
      <c r="I32" s="360">
        <f>VLOOKUP($A32,[0]!Data,311,FALSE)</f>
        <v>1097326</v>
      </c>
    </row>
    <row r="33" spans="1:9" x14ac:dyDescent="0.25">
      <c r="A33" s="40" t="str">
        <f>'[2]Table 11'!A32</f>
        <v>NC0036</v>
      </c>
      <c r="B33" s="41" t="str">
        <f>'[2]Table 11'!B32</f>
        <v>Halifax</v>
      </c>
      <c r="C33" s="428">
        <f>VLOOKUP($A33,[0]!Data,241,FALSE)</f>
        <v>670</v>
      </c>
      <c r="D33" s="358">
        <f>VLOOKUP($A33,[0]!Data,307,FALSE)</f>
        <v>18</v>
      </c>
      <c r="E33" s="358">
        <f>VLOOKUP($A33,[0]!Data,308,FALSE)</f>
        <v>53</v>
      </c>
      <c r="F33" s="490">
        <f>E33/('Table 1'!D32/5000)</f>
        <v>7.1507595995574622</v>
      </c>
      <c r="G33" s="358">
        <f>VLOOKUP($A33,[0]!Data,309,FALSE)</f>
        <v>36200</v>
      </c>
      <c r="H33" s="358">
        <f>VLOOKUP($A33,[0]!Data,312,FALSE)</f>
        <v>26100</v>
      </c>
      <c r="I33" s="360">
        <f>VLOOKUP($A33,[0]!Data,311,FALSE)</f>
        <v>4002</v>
      </c>
    </row>
    <row r="34" spans="1:9" x14ac:dyDescent="0.25">
      <c r="A34" s="40" t="str">
        <f>'[2]Table 11'!A33</f>
        <v>NC0037</v>
      </c>
      <c r="B34" s="41" t="str">
        <f>'[2]Table 11'!B33</f>
        <v>Harnett</v>
      </c>
      <c r="C34" s="428">
        <f>VLOOKUP($A34,[0]!Data,241,FALSE)</f>
        <v>878</v>
      </c>
      <c r="D34" s="358">
        <f>VLOOKUP($A34,[0]!Data,307,FALSE)</f>
        <v>29</v>
      </c>
      <c r="E34" s="358">
        <f>VLOOKUP($A34,[0]!Data,308,FALSE)</f>
        <v>99</v>
      </c>
      <c r="F34" s="490">
        <f>E34/('Table 1'!D33/5000)</f>
        <v>3.8436750192183751</v>
      </c>
      <c r="G34" s="358">
        <f>VLOOKUP($A34,[0]!Data,309,FALSE)</f>
        <v>32276</v>
      </c>
      <c r="H34" s="358">
        <f>VLOOKUP($A34,[0]!Data,312,FALSE)</f>
        <v>0</v>
      </c>
      <c r="I34" s="360">
        <f>VLOOKUP($A34,[0]!Data,311,FALSE)</f>
        <v>104535</v>
      </c>
    </row>
    <row r="35" spans="1:9" x14ac:dyDescent="0.25">
      <c r="A35" s="40" t="str">
        <f>'[2]Table 11'!A34</f>
        <v>NC0038</v>
      </c>
      <c r="B35" s="41" t="str">
        <f>'[2]Table 11'!B34</f>
        <v>Haywood</v>
      </c>
      <c r="C35" s="428">
        <f>VLOOKUP($A35,[0]!Data,241,FALSE)</f>
        <v>1040</v>
      </c>
      <c r="D35" s="358">
        <f>VLOOKUP($A35,[0]!Data,307,FALSE)</f>
        <v>28</v>
      </c>
      <c r="E35" s="358">
        <f>VLOOKUP($A35,[0]!Data,308,FALSE)</f>
        <v>38</v>
      </c>
      <c r="F35" s="490">
        <f>E35/('Table 1'!D34/5000)</f>
        <v>3.0758770296741189</v>
      </c>
      <c r="G35" s="358">
        <f>VLOOKUP($A35,[0]!Data,309,FALSE)</f>
        <v>25013</v>
      </c>
      <c r="H35" s="358">
        <f>VLOOKUP($A35,[0]!Data,312,FALSE)</f>
        <v>3860</v>
      </c>
      <c r="I35" s="360">
        <f>VLOOKUP($A35,[0]!Data,311,FALSE)</f>
        <v>117475</v>
      </c>
    </row>
    <row r="36" spans="1:9" x14ac:dyDescent="0.25">
      <c r="A36" s="40" t="str">
        <f>'[2]Table 11'!A35</f>
        <v>NC0039</v>
      </c>
      <c r="B36" s="41" t="str">
        <f>'[2]Table 11'!B35</f>
        <v>Henderson</v>
      </c>
      <c r="C36" s="428">
        <f>VLOOKUP($A36,[0]!Data,241,FALSE)</f>
        <v>504</v>
      </c>
      <c r="D36" s="358">
        <f>VLOOKUP($A36,[0]!Data,307,FALSE)</f>
        <v>52</v>
      </c>
      <c r="E36" s="358">
        <f>VLOOKUP($A36,[0]!Data,308,FALSE)</f>
        <v>77</v>
      </c>
      <c r="F36" s="490">
        <f>E36/('Table 1'!D35/5000)</f>
        <v>3.3658259387157408</v>
      </c>
      <c r="G36" s="358">
        <f>VLOOKUP($A36,[0]!Data,309,FALSE)</f>
        <v>55152</v>
      </c>
      <c r="H36" s="358">
        <f>VLOOKUP($A36,[0]!Data,312,FALSE)</f>
        <v>33314</v>
      </c>
      <c r="I36" s="360">
        <f>VLOOKUP($A36,[0]!Data,311,FALSE)</f>
        <v>178736</v>
      </c>
    </row>
    <row r="37" spans="1:9" x14ac:dyDescent="0.25">
      <c r="A37" s="40" t="str">
        <f>'[2]Table 11'!A36</f>
        <v>NC0040</v>
      </c>
      <c r="B37" s="41" t="str">
        <f>'[2]Table 11'!B36</f>
        <v>Iredell</v>
      </c>
      <c r="C37" s="428">
        <f>VLOOKUP($A37,[0]!Data,241,FALSE)</f>
        <v>0</v>
      </c>
      <c r="D37" s="358">
        <f>VLOOKUP($A37,[0]!Data,307,FALSE)</f>
        <v>40</v>
      </c>
      <c r="E37" s="358">
        <f>VLOOKUP($A37,[0]!Data,308,FALSE)</f>
        <v>52</v>
      </c>
      <c r="F37" s="490">
        <f>E37/('Table 1'!D36/5000)</f>
        <v>1.9356327657958801</v>
      </c>
      <c r="G37" s="358">
        <f>VLOOKUP($A37,[0]!Data,309,FALSE)</f>
        <v>68137</v>
      </c>
      <c r="H37" s="358">
        <f>VLOOKUP($A37,[0]!Data,312,FALSE)</f>
        <v>67275</v>
      </c>
      <c r="I37" s="360">
        <f>VLOOKUP($A37,[0]!Data,311,FALSE)</f>
        <v>69436</v>
      </c>
    </row>
    <row r="38" spans="1:9" x14ac:dyDescent="0.25">
      <c r="A38" s="40" t="str">
        <f>'[2]Table 11'!A37</f>
        <v>NC0041</v>
      </c>
      <c r="B38" s="41" t="str">
        <f>'[2]Table 11'!B37</f>
        <v>Johnston</v>
      </c>
      <c r="C38" s="428">
        <f>VLOOKUP($A38,[0]!Data,241,FALSE)</f>
        <v>0</v>
      </c>
      <c r="D38" s="358">
        <f>VLOOKUP($A38,[0]!Data,307,FALSE)</f>
        <v>25</v>
      </c>
      <c r="E38" s="358">
        <f>VLOOKUP($A38,[0]!Data,308,FALSE)</f>
        <v>48</v>
      </c>
      <c r="F38" s="490">
        <f>E38/('Table 1'!D37/5000)</f>
        <v>1.4114907106267607</v>
      </c>
      <c r="G38" s="358">
        <f>VLOOKUP($A38,[0]!Data,309,FALSE)</f>
        <v>45180</v>
      </c>
      <c r="H38" s="358">
        <f>VLOOKUP($A38,[0]!Data,312,FALSE)</f>
        <v>25552</v>
      </c>
      <c r="I38" s="360">
        <f>VLOOKUP($A38,[0]!Data,311,FALSE)</f>
        <v>39428</v>
      </c>
    </row>
    <row r="39" spans="1:9" x14ac:dyDescent="0.25">
      <c r="A39" s="40" t="str">
        <f>'[2]Table 11'!A38</f>
        <v>NC0042</v>
      </c>
      <c r="B39" s="41" t="str">
        <f>'[2]Table 11'!B38</f>
        <v>Lee</v>
      </c>
      <c r="C39" s="428">
        <f>VLOOKUP($A39,[0]!Data,241,FALSE)</f>
        <v>22</v>
      </c>
      <c r="D39" s="358">
        <f>VLOOKUP($A39,[0]!Data,307,FALSE)</f>
        <v>13</v>
      </c>
      <c r="E39" s="358">
        <f>VLOOKUP($A39,[0]!Data,308,FALSE)</f>
        <v>25</v>
      </c>
      <c r="F39" s="490">
        <f>E39/('Table 1'!D38/5000)</f>
        <v>2.1099183039632705</v>
      </c>
      <c r="G39" s="358">
        <f>VLOOKUP($A39,[0]!Data,309,FALSE)</f>
        <v>22500</v>
      </c>
      <c r="H39" s="358">
        <f>VLOOKUP($A39,[0]!Data,312,FALSE)</f>
        <v>0</v>
      </c>
      <c r="I39" s="360">
        <f>VLOOKUP($A39,[0]!Data,311,FALSE)</f>
        <v>28657</v>
      </c>
    </row>
    <row r="40" spans="1:9" x14ac:dyDescent="0.25">
      <c r="A40" s="40" t="str">
        <f>'[2]Table 11'!A39</f>
        <v>NC0106</v>
      </c>
      <c r="B40" s="41" t="str">
        <f>'[2]Table 11'!B39</f>
        <v>Lincoln</v>
      </c>
      <c r="C40" s="428">
        <f>VLOOKUP($A40,[0]!Data,241,FALSE)</f>
        <v>-1</v>
      </c>
      <c r="D40" s="358">
        <f>VLOOKUP($A40,[0]!Data,307,FALSE)</f>
        <v>28</v>
      </c>
      <c r="E40" s="358">
        <f>VLOOKUP($A40,[0]!Data,308,FALSE)</f>
        <v>50</v>
      </c>
      <c r="F40" s="490">
        <f>E40/('Table 1'!D39/5000)</f>
        <v>3.0475540331330073</v>
      </c>
      <c r="G40" s="358">
        <f>VLOOKUP($A40,[0]!Data,309,FALSE)</f>
        <v>35036</v>
      </c>
      <c r="H40" s="358">
        <f>VLOOKUP($A40,[0]!Data,312,FALSE)</f>
        <v>38572</v>
      </c>
      <c r="I40" s="360">
        <f>VLOOKUP($A40,[0]!Data,311,FALSE)</f>
        <v>48348</v>
      </c>
    </row>
    <row r="41" spans="1:9" x14ac:dyDescent="0.25">
      <c r="A41" s="40" t="str">
        <f>'[2]Table 11'!A40</f>
        <v>NC0043</v>
      </c>
      <c r="B41" s="41" t="str">
        <f>'[2]Table 11'!B40</f>
        <v>Madison</v>
      </c>
      <c r="C41" s="428">
        <f>VLOOKUP($A41,[0]!Data,241,FALSE)</f>
        <v>1144</v>
      </c>
      <c r="D41" s="358">
        <f>VLOOKUP($A41,[0]!Data,307,FALSE)</f>
        <v>15</v>
      </c>
      <c r="E41" s="358">
        <f>VLOOKUP($A41,[0]!Data,308,FALSE)</f>
        <v>55</v>
      </c>
      <c r="F41" s="490">
        <f>E41/('Table 1'!D40/5000)</f>
        <v>12.511943218526774</v>
      </c>
      <c r="G41" s="358">
        <f>VLOOKUP($A41,[0]!Data,309,FALSE)</f>
        <v>15388</v>
      </c>
      <c r="H41" s="358">
        <f>VLOOKUP($A41,[0]!Data,312,FALSE)</f>
        <v>64877</v>
      </c>
      <c r="I41" s="360">
        <f>VLOOKUP($A41,[0]!Data,311,FALSE)</f>
        <v>43801</v>
      </c>
    </row>
    <row r="42" spans="1:9" x14ac:dyDescent="0.25">
      <c r="A42" s="40" t="str">
        <f>'[2]Table 11'!A41</f>
        <v>NC0044</v>
      </c>
      <c r="B42" s="41" t="str">
        <f>'[2]Table 11'!B41</f>
        <v>McDowell</v>
      </c>
      <c r="C42" s="428">
        <f>VLOOKUP($A42,[0]!Data,241,FALSE)</f>
        <v>1</v>
      </c>
      <c r="D42" s="358">
        <f>VLOOKUP($A42,[0]!Data,307,FALSE)</f>
        <v>15</v>
      </c>
      <c r="E42" s="358">
        <f>VLOOKUP($A42,[0]!Data,308,FALSE)</f>
        <v>38</v>
      </c>
      <c r="F42" s="490">
        <f>E42/('Table 1'!D41/5000)</f>
        <v>4.1749066139310038</v>
      </c>
      <c r="G42" s="358">
        <f>VLOOKUP($A42,[0]!Data,309,FALSE)</f>
        <v>18455</v>
      </c>
      <c r="H42" s="358">
        <f>VLOOKUP($A42,[0]!Data,312,FALSE)</f>
        <v>6977</v>
      </c>
      <c r="I42" s="360">
        <f>VLOOKUP($A42,[0]!Data,311,FALSE)</f>
        <v>56192</v>
      </c>
    </row>
    <row r="43" spans="1:9" x14ac:dyDescent="0.25">
      <c r="A43" s="40" t="str">
        <f>'[2]Table 11'!A42</f>
        <v>NC0045</v>
      </c>
      <c r="B43" s="41" t="str">
        <f>'[2]Table 11'!B42</f>
        <v>Mecklenburg</v>
      </c>
      <c r="C43" s="428">
        <f>VLOOKUP($A43,[0]!Data,241,FALSE)</f>
        <v>2520</v>
      </c>
      <c r="D43" s="358">
        <f>VLOOKUP($A43,[0]!Data,307,FALSE)</f>
        <v>497</v>
      </c>
      <c r="E43" s="358">
        <f>VLOOKUP($A43,[0]!Data,308,FALSE)</f>
        <v>846</v>
      </c>
      <c r="F43" s="490">
        <f>E43/('Table 1'!D42/5000)</f>
        <v>4.0150159698921257</v>
      </c>
      <c r="G43" s="358">
        <f>VLOOKUP($A43,[0]!Data,309,FALSE)</f>
        <v>671447</v>
      </c>
      <c r="H43" s="358">
        <f>VLOOKUP($A43,[0]!Data,312,FALSE)</f>
        <v>859840</v>
      </c>
      <c r="I43" s="360">
        <f>VLOOKUP($A43,[0]!Data,311,FALSE)</f>
        <v>18182655</v>
      </c>
    </row>
    <row r="44" spans="1:9" x14ac:dyDescent="0.25">
      <c r="A44" s="40" t="str">
        <f>'[2]Table 11'!A43</f>
        <v>NC0046</v>
      </c>
      <c r="B44" s="41" t="str">
        <f>'[2]Table 11'!B43</f>
        <v>Nash (Braswell)</v>
      </c>
      <c r="C44" s="428">
        <f>VLOOKUP($A44,[0]!Data,241,FALSE)</f>
        <v>4939</v>
      </c>
      <c r="D44" s="358">
        <f>VLOOKUP($A44,[0]!Data,307,FALSE)</f>
        <v>36</v>
      </c>
      <c r="E44" s="358">
        <f>VLOOKUP($A44,[0]!Data,308,FALSE)</f>
        <v>86</v>
      </c>
      <c r="F44" s="490">
        <f>E44/('Table 1'!D43/5000)</f>
        <v>4.821168292409463</v>
      </c>
      <c r="G44" s="358">
        <f>VLOOKUP($A44,[0]!Data,309,FALSE)</f>
        <v>120741</v>
      </c>
      <c r="H44" s="358">
        <f>VLOOKUP($A44,[0]!Data,312,FALSE)</f>
        <v>69696</v>
      </c>
      <c r="I44" s="360">
        <f>VLOOKUP($A44,[0]!Data,311,FALSE)</f>
        <v>134037</v>
      </c>
    </row>
    <row r="45" spans="1:9" x14ac:dyDescent="0.25">
      <c r="A45" s="40" t="str">
        <f>'[2]Table 11'!A44</f>
        <v>NC0047</v>
      </c>
      <c r="B45" s="41" t="str">
        <f>'[2]Table 11'!B44</f>
        <v>New Hanover</v>
      </c>
      <c r="C45" s="428">
        <f>VLOOKUP($A45,[0]!Data,241,FALSE)</f>
        <v>257</v>
      </c>
      <c r="D45" s="358">
        <f>VLOOKUP($A45,[0]!Data,307,FALSE)</f>
        <v>80</v>
      </c>
      <c r="E45" s="358">
        <f>VLOOKUP($A45,[0]!Data,308,FALSE)</f>
        <v>112</v>
      </c>
      <c r="F45" s="490">
        <f>E45/('Table 1'!D44/5000)</f>
        <v>2.5043826696719256</v>
      </c>
      <c r="G45" s="358">
        <f>VLOOKUP($A45,[0]!Data,309,FALSE)</f>
        <v>126440</v>
      </c>
      <c r="H45" s="358">
        <f>VLOOKUP($A45,[0]!Data,312,FALSE)</f>
        <v>0</v>
      </c>
      <c r="I45" s="360">
        <f>VLOOKUP($A45,[0]!Data,311,FALSE)</f>
        <v>342287</v>
      </c>
    </row>
    <row r="46" spans="1:9" x14ac:dyDescent="0.25">
      <c r="A46" s="40" t="str">
        <f>'[2]Table 11'!A45</f>
        <v>NC0048</v>
      </c>
      <c r="B46" s="41" t="str">
        <f>'[2]Table 11'!B45</f>
        <v>Onslow</v>
      </c>
      <c r="C46" s="428">
        <f>VLOOKUP($A46,[0]!Data,241,FALSE)</f>
        <v>94</v>
      </c>
      <c r="D46" s="358">
        <f>VLOOKUP($A46,[0]!Data,307,FALSE)</f>
        <v>43</v>
      </c>
      <c r="E46" s="358">
        <f>VLOOKUP($A46,[0]!Data,308,FALSE)</f>
        <v>114</v>
      </c>
      <c r="F46" s="490">
        <f>E46/('Table 1'!D45/5000)</f>
        <v>2.939447383891828</v>
      </c>
      <c r="G46" s="358">
        <f>VLOOKUP($A46,[0]!Data,309,FALSE)</f>
        <v>66044</v>
      </c>
      <c r="H46" s="358">
        <f>VLOOKUP($A46,[0]!Data,312,FALSE)</f>
        <v>0</v>
      </c>
      <c r="I46" s="360">
        <f>VLOOKUP($A46,[0]!Data,311,FALSE)</f>
        <v>0</v>
      </c>
    </row>
    <row r="47" spans="1:9" x14ac:dyDescent="0.25">
      <c r="A47" s="40" t="str">
        <f>'[2]Table 11'!A46</f>
        <v>NC0108</v>
      </c>
      <c r="B47" s="41" t="str">
        <f>'[2]Table 11'!B46</f>
        <v>Orange</v>
      </c>
      <c r="C47" s="428">
        <f>VLOOKUP($A47,[0]!Data,241,FALSE)</f>
        <v>2085</v>
      </c>
      <c r="D47" s="358">
        <f>VLOOKUP($A47,[0]!Data,307,FALSE)</f>
        <v>35</v>
      </c>
      <c r="E47" s="358">
        <f>VLOOKUP($A47,[0]!Data,308,FALSE)</f>
        <v>60</v>
      </c>
      <c r="F47" s="490">
        <f>E47/('Table 1'!D46/5000)</f>
        <v>3.5645964282743789</v>
      </c>
      <c r="G47" s="358">
        <f>VLOOKUP($A47,[0]!Data,309,FALSE)</f>
        <v>47404</v>
      </c>
      <c r="H47" s="358">
        <f>VLOOKUP($A47,[0]!Data,312,FALSE)</f>
        <v>16121</v>
      </c>
      <c r="I47" s="360">
        <f>VLOOKUP($A47,[0]!Data,311,FALSE)</f>
        <v>200434</v>
      </c>
    </row>
    <row r="48" spans="1:9" x14ac:dyDescent="0.25">
      <c r="A48" s="40" t="str">
        <f>'[2]Table 11'!A47</f>
        <v>NC0049</v>
      </c>
      <c r="B48" s="41" t="str">
        <f>'[2]Table 11'!B47</f>
        <v>Pender</v>
      </c>
      <c r="C48" s="428">
        <f>VLOOKUP($A48,[0]!Data,241,FALSE)</f>
        <v>91</v>
      </c>
      <c r="D48" s="358">
        <f>VLOOKUP($A48,[0]!Data,307,FALSE)</f>
        <v>19</v>
      </c>
      <c r="E48" s="358">
        <f>VLOOKUP($A48,[0]!Data,308,FALSE)</f>
        <v>27</v>
      </c>
      <c r="F48" s="490">
        <f>E48/('Table 1'!D47/5000)</f>
        <v>2.2704720900116047</v>
      </c>
      <c r="G48" s="358">
        <f>VLOOKUP($A48,[0]!Data,309,FALSE)</f>
        <v>12116</v>
      </c>
      <c r="H48" s="358">
        <f>VLOOKUP($A48,[0]!Data,312,FALSE)</f>
        <v>43071</v>
      </c>
      <c r="I48" s="360">
        <f>VLOOKUP($A48,[0]!Data,311,FALSE)</f>
        <v>36761</v>
      </c>
    </row>
    <row r="49" spans="1:9" x14ac:dyDescent="0.25">
      <c r="A49" s="40" t="str">
        <f>'[2]Table 11'!A48</f>
        <v>NC0109</v>
      </c>
      <c r="B49" s="41" t="str">
        <f>'[2]Table 11'!B48</f>
        <v>Person</v>
      </c>
      <c r="C49" s="428">
        <f>VLOOKUP($A49,[0]!Data,241,FALSE)</f>
        <v>14</v>
      </c>
      <c r="D49" s="358">
        <f>VLOOKUP($A49,[0]!Data,307,FALSE)</f>
        <v>10</v>
      </c>
      <c r="E49" s="358">
        <f>VLOOKUP($A49,[0]!Data,308,FALSE)</f>
        <v>13</v>
      </c>
      <c r="F49" s="490">
        <f>E49/('Table 1'!D48/5000)</f>
        <v>1.6361256544502618</v>
      </c>
      <c r="G49" s="358">
        <f>VLOOKUP($A49,[0]!Data,309,FALSE)</f>
        <v>15463</v>
      </c>
      <c r="H49" s="358">
        <f>VLOOKUP($A49,[0]!Data,312,FALSE)</f>
        <v>8696</v>
      </c>
      <c r="I49" s="360">
        <f>VLOOKUP($A49,[0]!Data,311,FALSE)</f>
        <v>15212</v>
      </c>
    </row>
    <row r="50" spans="1:9" x14ac:dyDescent="0.25">
      <c r="A50" s="40" t="str">
        <f>'[2]Table 11'!A49</f>
        <v>NC0050</v>
      </c>
      <c r="B50" s="41" t="str">
        <f>'[2]Table 11'!B49</f>
        <v>Pitt (Sheppard)</v>
      </c>
      <c r="C50" s="428">
        <f>VLOOKUP($A50,[0]!Data,241,FALSE)</f>
        <v>-1</v>
      </c>
      <c r="D50" s="358">
        <f>VLOOKUP($A50,[0]!Data,307,FALSE)</f>
        <v>41</v>
      </c>
      <c r="E50" s="358">
        <f>VLOOKUP($A50,[0]!Data,308,FALSE)</f>
        <v>129</v>
      </c>
      <c r="F50" s="490">
        <f>E50/('Table 1'!D49/5000)</f>
        <v>3.7671932949799958</v>
      </c>
      <c r="G50" s="358">
        <f>VLOOKUP($A50,[0]!Data,309,FALSE)</f>
        <v>126910</v>
      </c>
      <c r="H50" s="358">
        <f>VLOOKUP($A50,[0]!Data,312,FALSE)</f>
        <v>0</v>
      </c>
      <c r="I50" s="360">
        <f>VLOOKUP($A50,[0]!Data,311,FALSE)</f>
        <v>295012</v>
      </c>
    </row>
    <row r="51" spans="1:9" x14ac:dyDescent="0.25">
      <c r="A51" s="40" t="str">
        <f>'[2]Table 11'!A50</f>
        <v>NC0051</v>
      </c>
      <c r="B51" s="41" t="str">
        <f>'[2]Table 11'!B50</f>
        <v>Polk</v>
      </c>
      <c r="C51" s="428">
        <f>VLOOKUP($A51,[0]!Data,241,FALSE)</f>
        <v>74</v>
      </c>
      <c r="D51" s="358">
        <f>VLOOKUP($A51,[0]!Data,307,FALSE)</f>
        <v>18</v>
      </c>
      <c r="E51" s="358">
        <f>VLOOKUP($A51,[0]!Data,308,FALSE)</f>
        <v>45</v>
      </c>
      <c r="F51" s="490">
        <f>E51/('Table 1'!D50/5000)</f>
        <v>10.699001426533522</v>
      </c>
      <c r="G51" s="358">
        <f>VLOOKUP($A51,[0]!Data,309,FALSE)</f>
        <v>22496</v>
      </c>
      <c r="H51" s="358">
        <f>VLOOKUP($A51,[0]!Data,312,FALSE)</f>
        <v>0</v>
      </c>
      <c r="I51" s="360">
        <f>VLOOKUP($A51,[0]!Data,311,FALSE)</f>
        <v>78575</v>
      </c>
    </row>
    <row r="52" spans="1:9" x14ac:dyDescent="0.25">
      <c r="A52" s="40" t="str">
        <f>'[2]Table 11'!A51</f>
        <v>NC0052</v>
      </c>
      <c r="B52" s="41" t="str">
        <f>'[2]Table 11'!B51</f>
        <v>Randolph</v>
      </c>
      <c r="C52" s="428">
        <f>VLOOKUP($A52,[0]!Data,241,FALSE)</f>
        <v>25</v>
      </c>
      <c r="D52" s="358">
        <f>VLOOKUP($A52,[0]!Data,307,FALSE)</f>
        <v>81</v>
      </c>
      <c r="E52" s="358">
        <f>VLOOKUP($A52,[0]!Data,308,FALSE)</f>
        <v>156</v>
      </c>
      <c r="F52" s="490">
        <f>E52/('Table 1'!D51/5000)</f>
        <v>5.4279371751066448</v>
      </c>
      <c r="G52" s="358">
        <f>VLOOKUP($A52,[0]!Data,309,FALSE)</f>
        <v>92961</v>
      </c>
      <c r="H52" s="358">
        <f>VLOOKUP($A52,[0]!Data,312,FALSE)</f>
        <v>33130</v>
      </c>
      <c r="I52" s="360">
        <f>VLOOKUP($A52,[0]!Data,311,FALSE)</f>
        <v>194813</v>
      </c>
    </row>
    <row r="53" spans="1:9" x14ac:dyDescent="0.25">
      <c r="A53" s="40" t="str">
        <f>'[2]Table 11'!A52</f>
        <v>NC0053</v>
      </c>
      <c r="B53" s="41" t="str">
        <f>'[2]Table 11'!B52</f>
        <v>Robeson</v>
      </c>
      <c r="C53" s="428">
        <f>VLOOKUP($A53,[0]!Data,241,FALSE)</f>
        <v>105</v>
      </c>
      <c r="D53" s="358">
        <f>VLOOKUP($A53,[0]!Data,307,FALSE)</f>
        <v>22</v>
      </c>
      <c r="E53" s="358">
        <f>VLOOKUP($A53,[0]!Data,308,FALSE)</f>
        <v>64</v>
      </c>
      <c r="F53" s="490">
        <f>E53/('Table 1'!D52/5000)</f>
        <v>2.412236067452151</v>
      </c>
      <c r="G53" s="358">
        <f>VLOOKUP($A53,[0]!Data,309,FALSE)</f>
        <v>40662</v>
      </c>
      <c r="H53" s="358">
        <f>VLOOKUP($A53,[0]!Data,312,FALSE)</f>
        <v>0</v>
      </c>
      <c r="I53" s="360">
        <f>VLOOKUP($A53,[0]!Data,311,FALSE)</f>
        <v>32727</v>
      </c>
    </row>
    <row r="54" spans="1:9" x14ac:dyDescent="0.25">
      <c r="A54" s="40" t="str">
        <f>'[2]Table 11'!A53</f>
        <v>NC0054</v>
      </c>
      <c r="B54" s="41" t="str">
        <f>'[2]Table 11'!B53</f>
        <v>Rockingham</v>
      </c>
      <c r="C54" s="428">
        <f>VLOOKUP($A54,[0]!Data,241,FALSE)</f>
        <v>1366</v>
      </c>
      <c r="D54" s="358">
        <f>VLOOKUP($A54,[0]!Data,307,FALSE)</f>
        <v>33</v>
      </c>
      <c r="E54" s="358">
        <f>VLOOKUP($A54,[0]!Data,308,FALSE)</f>
        <v>93</v>
      </c>
      <c r="F54" s="490">
        <f>E54/('Table 1'!D53/5000)</f>
        <v>5.0603432327431417</v>
      </c>
      <c r="G54" s="358">
        <f>VLOOKUP($A54,[0]!Data,309,FALSE)</f>
        <v>141881</v>
      </c>
      <c r="H54" s="358">
        <f>VLOOKUP($A54,[0]!Data,312,FALSE)</f>
        <v>0</v>
      </c>
      <c r="I54" s="360">
        <f>VLOOKUP($A54,[0]!Data,311,FALSE)</f>
        <v>0</v>
      </c>
    </row>
    <row r="55" spans="1:9" x14ac:dyDescent="0.25">
      <c r="A55" s="40" t="str">
        <f>'[2]Table 11'!A54</f>
        <v>NC0055</v>
      </c>
      <c r="B55" s="41" t="str">
        <f>'[2]Table 11'!B54</f>
        <v>Rowan</v>
      </c>
      <c r="C55" s="428">
        <f>VLOOKUP($A55,[0]!Data,241,FALSE)</f>
        <v>86</v>
      </c>
      <c r="D55" s="358">
        <f>VLOOKUP($A55,[0]!Data,307,FALSE)</f>
        <v>50</v>
      </c>
      <c r="E55" s="358">
        <f>VLOOKUP($A55,[0]!Data,308,FALSE)</f>
        <v>97</v>
      </c>
      <c r="F55" s="490">
        <f>E55/('Table 1'!D54/5000)</f>
        <v>3.4404483223380864</v>
      </c>
      <c r="G55" s="358">
        <f>VLOOKUP($A55,[0]!Data,309,FALSE)</f>
        <v>82663</v>
      </c>
      <c r="H55" s="358">
        <f>VLOOKUP($A55,[0]!Data,312,FALSE)</f>
        <v>47393</v>
      </c>
      <c r="I55" s="360">
        <f>VLOOKUP($A55,[0]!Data,311,FALSE)</f>
        <v>262184</v>
      </c>
    </row>
    <row r="56" spans="1:9" x14ac:dyDescent="0.25">
      <c r="A56" s="40" t="str">
        <f>'[2]Table 11'!A55</f>
        <v>NC0056</v>
      </c>
      <c r="B56" s="41" t="str">
        <f>'[2]Table 11'!B55</f>
        <v>Rutherford</v>
      </c>
      <c r="C56" s="428">
        <f>VLOOKUP($A56,[0]!Data,241,FALSE)</f>
        <v>544</v>
      </c>
      <c r="D56" s="358">
        <f>VLOOKUP($A56,[0]!Data,307,FALSE)</f>
        <v>17</v>
      </c>
      <c r="E56" s="358">
        <f>VLOOKUP($A56,[0]!Data,308,FALSE)</f>
        <v>34</v>
      </c>
      <c r="F56" s="490">
        <f>E56/('Table 1'!D55/5000)</f>
        <v>2.5109670177097025</v>
      </c>
      <c r="G56" s="358">
        <f>VLOOKUP($A56,[0]!Data,309,FALSE)</f>
        <v>20241</v>
      </c>
      <c r="H56" s="358">
        <f>VLOOKUP($A56,[0]!Data,312,FALSE)</f>
        <v>21540</v>
      </c>
      <c r="I56" s="360">
        <f>VLOOKUP($A56,[0]!Data,311,FALSE)</f>
        <v>45175</v>
      </c>
    </row>
    <row r="57" spans="1:9" x14ac:dyDescent="0.25">
      <c r="A57" s="40" t="str">
        <f>'[2]Table 11'!A56</f>
        <v>NC0057</v>
      </c>
      <c r="B57" s="41" t="str">
        <f>'[2]Table 11'!B56</f>
        <v>Sampson</v>
      </c>
      <c r="C57" s="428">
        <f>VLOOKUP($A57,[0]!Data,241,FALSE)</f>
        <v>-1</v>
      </c>
      <c r="D57" s="358">
        <f>VLOOKUP($A57,[0]!Data,307,FALSE)</f>
        <v>16</v>
      </c>
      <c r="E57" s="358">
        <f>VLOOKUP($A57,[0]!Data,308,FALSE)</f>
        <v>32</v>
      </c>
      <c r="F57" s="490">
        <f>E57/('Table 1'!D56/5000)</f>
        <v>2.5197247200743318</v>
      </c>
      <c r="G57" s="358">
        <f>VLOOKUP($A57,[0]!Data,309,FALSE)</f>
        <v>21654</v>
      </c>
      <c r="H57" s="358">
        <f>VLOOKUP($A57,[0]!Data,312,FALSE)</f>
        <v>0</v>
      </c>
      <c r="I57" s="360">
        <f>VLOOKUP($A57,[0]!Data,311,FALSE)</f>
        <v>0</v>
      </c>
    </row>
    <row r="58" spans="1:9" x14ac:dyDescent="0.25">
      <c r="A58" s="40" t="str">
        <f>'[2]Table 11'!A57</f>
        <v>NC0058</v>
      </c>
      <c r="B58" s="41" t="str">
        <f>'[2]Table 11'!B57</f>
        <v>Scotland</v>
      </c>
      <c r="C58" s="428">
        <f>VLOOKUP($A58,[0]!Data,241,FALSE)</f>
        <v>0</v>
      </c>
      <c r="D58" s="358">
        <f>VLOOKUP($A58,[0]!Data,307,FALSE)</f>
        <v>9</v>
      </c>
      <c r="E58" s="358">
        <f>VLOOKUP($A58,[0]!Data,308,FALSE)</f>
        <v>14</v>
      </c>
      <c r="F58" s="490">
        <f>E58/('Table 1'!D57/5000)</f>
        <v>1.9559082399619996</v>
      </c>
      <c r="G58" s="358">
        <f>VLOOKUP($A58,[0]!Data,309,FALSE)</f>
        <v>14831</v>
      </c>
      <c r="H58" s="358">
        <f>VLOOKUP($A58,[0]!Data,312,FALSE)</f>
        <v>2388</v>
      </c>
      <c r="I58" s="360">
        <f>VLOOKUP($A58,[0]!Data,311,FALSE)</f>
        <v>0</v>
      </c>
    </row>
    <row r="59" spans="1:9" x14ac:dyDescent="0.25">
      <c r="A59" s="40" t="str">
        <f>'[2]Table 11'!A58</f>
        <v>NC0059</v>
      </c>
      <c r="B59" s="41" t="str">
        <f>'[2]Table 11'!B58</f>
        <v>Stanly</v>
      </c>
      <c r="C59" s="428">
        <f>VLOOKUP($A59,[0]!Data,241,FALSE)</f>
        <v>368</v>
      </c>
      <c r="D59" s="358">
        <f>VLOOKUP($A59,[0]!Data,307,FALSE)</f>
        <v>20</v>
      </c>
      <c r="E59" s="358">
        <f>VLOOKUP($A59,[0]!Data,308,FALSE)</f>
        <v>42</v>
      </c>
      <c r="F59" s="490">
        <f>E59/('Table 1'!D58/5000)</f>
        <v>3.400754643649496</v>
      </c>
      <c r="G59" s="358">
        <f>VLOOKUP($A59,[0]!Data,309,FALSE)</f>
        <v>13803</v>
      </c>
      <c r="H59" s="358">
        <f>VLOOKUP($A59,[0]!Data,312,FALSE)</f>
        <v>0</v>
      </c>
      <c r="I59" s="360">
        <f>VLOOKUP($A59,[0]!Data,311,FALSE)</f>
        <v>32373</v>
      </c>
    </row>
    <row r="60" spans="1:9" x14ac:dyDescent="0.25">
      <c r="A60" s="40" t="str">
        <f>'[2]Table 11'!A59</f>
        <v>NC0060</v>
      </c>
      <c r="B60" s="41" t="str">
        <f>'[2]Table 11'!B59</f>
        <v>Transylvania</v>
      </c>
      <c r="C60" s="428">
        <f>VLOOKUP($A60,[0]!Data,241,FALSE)</f>
        <v>145</v>
      </c>
      <c r="D60" s="358">
        <f>VLOOKUP($A60,[0]!Data,307,FALSE)</f>
        <v>34</v>
      </c>
      <c r="E60" s="358">
        <f>VLOOKUP($A60,[0]!Data,308,FALSE)</f>
        <v>47</v>
      </c>
      <c r="F60" s="490">
        <f>E60/('Table 1'!D59/5000)</f>
        <v>6.8836228360526084</v>
      </c>
      <c r="G60" s="358">
        <f>VLOOKUP($A60,[0]!Data,309,FALSE)</f>
        <v>27447</v>
      </c>
      <c r="H60" s="358">
        <f>VLOOKUP($A60,[0]!Data,312,FALSE)</f>
        <v>32820</v>
      </c>
      <c r="I60" s="360">
        <f>VLOOKUP($A60,[0]!Data,311,FALSE)</f>
        <v>141448</v>
      </c>
    </row>
    <row r="61" spans="1:9" x14ac:dyDescent="0.25">
      <c r="A61" s="40" t="str">
        <f>'[2]Table 11'!A60</f>
        <v>NC0061</v>
      </c>
      <c r="B61" s="41" t="str">
        <f>'[2]Table 11'!B60</f>
        <v>Union</v>
      </c>
      <c r="C61" s="428">
        <f>VLOOKUP($A61,[0]!Data,241,FALSE)</f>
        <v>548</v>
      </c>
      <c r="D61" s="358">
        <f>VLOOKUP($A61,[0]!Data,307,FALSE)</f>
        <v>76</v>
      </c>
      <c r="E61" s="358">
        <f>VLOOKUP($A61,[0]!Data,308,FALSE)</f>
        <v>160</v>
      </c>
      <c r="F61" s="490">
        <f>E61/('Table 1'!D60/5000)</f>
        <v>3.5727843154768548</v>
      </c>
      <c r="G61" s="358">
        <f>VLOOKUP($A61,[0]!Data,309,FALSE)</f>
        <v>77555</v>
      </c>
      <c r="H61" s="358">
        <f>VLOOKUP($A61,[0]!Data,312,FALSE)</f>
        <v>74176</v>
      </c>
      <c r="I61" s="360">
        <f>VLOOKUP($A61,[0]!Data,311,FALSE)</f>
        <v>312754</v>
      </c>
    </row>
    <row r="62" spans="1:9" x14ac:dyDescent="0.25">
      <c r="A62" s="40" t="str">
        <f>'[2]Table 11'!A61</f>
        <v>NC0062</v>
      </c>
      <c r="B62" s="41" t="str">
        <f>'[2]Table 11'!B61</f>
        <v>Vance (Perry)</v>
      </c>
      <c r="C62" s="428">
        <f>VLOOKUP($A62,[0]!Data,241,FALSE)</f>
        <v>668</v>
      </c>
      <c r="D62" s="358">
        <f>VLOOKUP($A62,[0]!Data,307,FALSE)</f>
        <v>21</v>
      </c>
      <c r="E62" s="358">
        <f>VLOOKUP($A62,[0]!Data,308,FALSE)</f>
        <v>35</v>
      </c>
      <c r="F62" s="490">
        <f>E62/('Table 1'!D61/5000)</f>
        <v>3.8936477917454662</v>
      </c>
      <c r="G62" s="358">
        <f>VLOOKUP($A62,[0]!Data,309,FALSE)</f>
        <v>38500</v>
      </c>
      <c r="H62" s="358">
        <f>VLOOKUP($A62,[0]!Data,312,FALSE)</f>
        <v>0</v>
      </c>
      <c r="I62" s="360">
        <f>VLOOKUP($A62,[0]!Data,311,FALSE)</f>
        <v>105365</v>
      </c>
    </row>
    <row r="63" spans="1:9" x14ac:dyDescent="0.25">
      <c r="A63" s="40" t="str">
        <f>'[2]Table 11'!A62</f>
        <v>NC0063</v>
      </c>
      <c r="B63" s="41" t="str">
        <f>'[2]Table 11'!B62</f>
        <v>Wake</v>
      </c>
      <c r="C63" s="428">
        <f>VLOOKUP($A63,[0]!Data,241,FALSE)</f>
        <v>-1</v>
      </c>
      <c r="D63" s="358">
        <f>VLOOKUP($A63,[0]!Data,307,FALSE)</f>
        <v>383</v>
      </c>
      <c r="E63" s="358">
        <f>VLOOKUP($A63,[0]!Data,308,FALSE)</f>
        <v>562</v>
      </c>
      <c r="F63" s="490">
        <f>E63/('Table 1'!D62/5000)</f>
        <v>2.7367961758873647</v>
      </c>
      <c r="G63" s="358">
        <f>VLOOKUP($A63,[0]!Data,309,FALSE)</f>
        <v>565207</v>
      </c>
      <c r="H63" s="358">
        <f>VLOOKUP($A63,[0]!Data,312,FALSE)</f>
        <v>1248674</v>
      </c>
      <c r="I63" s="360">
        <f>VLOOKUP($A63,[0]!Data,311,FALSE)</f>
        <v>4928588</v>
      </c>
    </row>
    <row r="64" spans="1:9" x14ac:dyDescent="0.25">
      <c r="A64" s="40" t="str">
        <f>'[2]Table 11'!A63</f>
        <v>NC0101</v>
      </c>
      <c r="B64" s="41" t="str">
        <f>'[2]Table 11'!B63</f>
        <v>Warren</v>
      </c>
      <c r="C64" s="428">
        <f>VLOOKUP($A64,[0]!Data,241,FALSE)</f>
        <v>267</v>
      </c>
      <c r="D64" s="358">
        <f>VLOOKUP($A64,[0]!Data,307,FALSE)</f>
        <v>19</v>
      </c>
      <c r="E64" s="358">
        <f>VLOOKUP($A64,[0]!Data,308,FALSE)</f>
        <v>29</v>
      </c>
      <c r="F64" s="490">
        <f>E64/('Table 1'!D63/5000)</f>
        <v>7.2064012723025686</v>
      </c>
      <c r="G64" s="358">
        <f>VLOOKUP($A64,[0]!Data,309,FALSE)</f>
        <v>21612</v>
      </c>
      <c r="H64" s="358">
        <f>VLOOKUP($A64,[0]!Data,312,FALSE)</f>
        <v>0</v>
      </c>
      <c r="I64" s="360">
        <f>VLOOKUP($A64,[0]!Data,311,FALSE)</f>
        <v>165251</v>
      </c>
    </row>
    <row r="65" spans="1:9" x14ac:dyDescent="0.25">
      <c r="A65" s="40" t="str">
        <f>'[2]Table 11'!A64</f>
        <v>NC0065</v>
      </c>
      <c r="B65" s="41" t="str">
        <f>'[2]Table 11'!B64</f>
        <v>Wayne</v>
      </c>
      <c r="C65" s="428">
        <f>VLOOKUP($A65,[0]!Data,241,FALSE)</f>
        <v>475</v>
      </c>
      <c r="D65" s="358">
        <f>VLOOKUP($A65,[0]!Data,307,FALSE)</f>
        <v>49</v>
      </c>
      <c r="E65" s="358">
        <f>VLOOKUP($A65,[0]!Data,308,FALSE)</f>
        <v>123</v>
      </c>
      <c r="F65" s="490">
        <f>E65/('Table 1'!D64/5000)</f>
        <v>4.9275687455932307</v>
      </c>
      <c r="G65" s="358">
        <f>VLOOKUP($A65,[0]!Data,309,FALSE)</f>
        <v>73923</v>
      </c>
      <c r="H65" s="358">
        <f>VLOOKUP($A65,[0]!Data,312,FALSE)</f>
        <v>86139</v>
      </c>
      <c r="I65" s="360">
        <f>VLOOKUP($A65,[0]!Data,311,FALSE)</f>
        <v>62046</v>
      </c>
    </row>
    <row r="66" spans="1:9" x14ac:dyDescent="0.25">
      <c r="A66" s="40" t="str">
        <f>'[2]Table 11'!A65</f>
        <v>NC0066</v>
      </c>
      <c r="B66" s="41" t="str">
        <f>'[2]Table 11'!B65</f>
        <v>Wilson</v>
      </c>
      <c r="C66" s="527">
        <f>VLOOKUP($A66,[0]!Data,241,FALSE)</f>
        <v>4</v>
      </c>
      <c r="D66" s="358">
        <f>VLOOKUP($A66,[0]!Data,307,FALSE)</f>
        <v>33</v>
      </c>
      <c r="E66" s="358">
        <f>VLOOKUP($A66,[0]!Data,308,FALSE)</f>
        <v>55</v>
      </c>
      <c r="F66" s="490">
        <f>E66/('Table 1'!D65/5000)</f>
        <v>3.3635852149025167</v>
      </c>
      <c r="G66" s="358">
        <f>VLOOKUP($A66,[0]!Data,309,FALSE)</f>
        <v>37148</v>
      </c>
      <c r="H66" s="358">
        <f>VLOOKUP($A66,[0]!Data,312,FALSE)</f>
        <v>38511</v>
      </c>
      <c r="I66" s="360">
        <f>VLOOKUP($A66,[0]!Data,311,FALSE)</f>
        <v>89432</v>
      </c>
    </row>
    <row r="67" spans="1:9" ht="15.75" thickBot="1" x14ac:dyDescent="0.3">
      <c r="A67" s="648" t="s">
        <v>2091</v>
      </c>
      <c r="B67" s="649"/>
      <c r="C67" s="480">
        <f>AVERAGE(C9:C66)</f>
        <v>1307.1724137931035</v>
      </c>
      <c r="D67" s="361">
        <f>SUM(D9:D66)</f>
        <v>3248</v>
      </c>
      <c r="E67" s="361">
        <f>SUM(E9:E66)</f>
        <v>5800</v>
      </c>
      <c r="F67" s="503">
        <f>AVERAGE(F9:F66)</f>
        <v>3.8447306387361588</v>
      </c>
      <c r="G67" s="361">
        <f>SUM(G9:G66)</f>
        <v>4965932</v>
      </c>
      <c r="H67" s="361">
        <f>SUM(H9:H66)</f>
        <v>3568294</v>
      </c>
      <c r="I67" s="48">
        <f>SUM(I9:I66)</f>
        <v>34722641</v>
      </c>
    </row>
    <row r="68" spans="1:9" ht="16.5" thickTop="1" thickBot="1" x14ac:dyDescent="0.3">
      <c r="A68" s="650" t="s">
        <v>1866</v>
      </c>
      <c r="B68" s="651"/>
      <c r="C68" s="53"/>
      <c r="D68" s="524"/>
      <c r="E68" s="524"/>
      <c r="F68" s="524"/>
      <c r="G68" s="524"/>
      <c r="H68" s="524"/>
      <c r="I68" s="525"/>
    </row>
    <row r="69" spans="1:9" ht="15.75" thickTop="1" x14ac:dyDescent="0.25">
      <c r="A69" s="482" t="str">
        <f>'[2]Table 11'!A68</f>
        <v>NC0001</v>
      </c>
      <c r="B69" s="526" t="str">
        <f>'[2]Table 11'!B68</f>
        <v>Albemarle</v>
      </c>
      <c r="C69" s="540">
        <f>VLOOKUP($A69,[0]!Data,241,FALSE)</f>
        <v>0</v>
      </c>
      <c r="D69" s="358">
        <f>VLOOKUP($A69,[0]!Data,307,FALSE)</f>
        <v>37</v>
      </c>
      <c r="E69" s="358">
        <f>VLOOKUP($A69,[0]!Data,308,FALSE)</f>
        <v>100</v>
      </c>
      <c r="F69" s="490">
        <f>E69/('Table 1'!D68/5000)</f>
        <v>6.5304843007157416</v>
      </c>
      <c r="G69" s="358">
        <f>VLOOKUP($A69,[0]!Data,309,FALSE)</f>
        <v>35343</v>
      </c>
      <c r="H69" s="358">
        <f>VLOOKUP($A69,[0]!Data,312,FALSE)</f>
        <v>34632</v>
      </c>
      <c r="I69" s="368">
        <f>VLOOKUP($A69,[0]!Data,311,FALSE)</f>
        <v>85453</v>
      </c>
    </row>
    <row r="70" spans="1:9" x14ac:dyDescent="0.25">
      <c r="A70" s="482" t="str">
        <f>'[2]Table 11'!A69</f>
        <v>NC0003</v>
      </c>
      <c r="B70" s="526" t="str">
        <f>'[2]Table 11'!B69</f>
        <v>AMY</v>
      </c>
      <c r="C70" s="428">
        <f>VLOOKUP($A70,[0]!Data,241,FALSE)</f>
        <v>1943</v>
      </c>
      <c r="D70" s="358">
        <f>VLOOKUP($A70,[0]!Data,307,FALSE)</f>
        <v>10</v>
      </c>
      <c r="E70" s="358">
        <f>VLOOKUP($A70,[0]!Data,308,FALSE)</f>
        <v>108</v>
      </c>
      <c r="F70" s="490">
        <f>E70/('Table 1'!D69/5000)</f>
        <v>10.484215431211897</v>
      </c>
      <c r="G70" s="358">
        <f>VLOOKUP($A70,[0]!Data,309,FALSE)</f>
        <v>55764</v>
      </c>
      <c r="H70" s="358">
        <f>VLOOKUP($A70,[0]!Data,312,FALSE)</f>
        <v>20222</v>
      </c>
      <c r="I70" s="360">
        <f>VLOOKUP($A70,[0]!Data,311,FALSE)</f>
        <v>8782</v>
      </c>
    </row>
    <row r="71" spans="1:9" x14ac:dyDescent="0.25">
      <c r="A71" s="482" t="str">
        <f>'[2]Table 11'!A70</f>
        <v>NC0002</v>
      </c>
      <c r="B71" s="526" t="str">
        <f>'[2]Table 11'!B70</f>
        <v>Appalachian</v>
      </c>
      <c r="C71" s="428">
        <f>VLOOKUP($A71,[0]!Data,241,FALSE)</f>
        <v>1010</v>
      </c>
      <c r="D71" s="358">
        <f>VLOOKUP($A71,[0]!Data,307,FALSE)</f>
        <v>66</v>
      </c>
      <c r="E71" s="358">
        <f>VLOOKUP($A71,[0]!Data,308,FALSE)</f>
        <v>128</v>
      </c>
      <c r="F71" s="490">
        <f>E71/('Table 1'!D70/5000)</f>
        <v>4.2004948708019665</v>
      </c>
      <c r="G71" s="358">
        <f>VLOOKUP($A71,[0]!Data,309,FALSE)</f>
        <v>58065</v>
      </c>
      <c r="H71" s="358">
        <f>VLOOKUP($A71,[0]!Data,312,FALSE)</f>
        <v>40855</v>
      </c>
      <c r="I71" s="360">
        <f>VLOOKUP($A71,[0]!Data,311,FALSE)</f>
        <v>267691</v>
      </c>
    </row>
    <row r="72" spans="1:9" x14ac:dyDescent="0.25">
      <c r="A72" s="482" t="str">
        <f>'[2]Table 11'!A71</f>
        <v>NC0004</v>
      </c>
      <c r="B72" s="526" t="str">
        <f>'[2]Table 11'!B71</f>
        <v>BHM</v>
      </c>
      <c r="C72" s="428">
        <f>VLOOKUP($A72,[0]!Data,241,FALSE)</f>
        <v>77</v>
      </c>
      <c r="D72" s="358">
        <f>VLOOKUP($A72,[0]!Data,307,FALSE)</f>
        <v>22</v>
      </c>
      <c r="E72" s="358">
        <f>VLOOKUP($A72,[0]!Data,308,FALSE)</f>
        <v>87</v>
      </c>
      <c r="F72" s="490">
        <f>E72/('Table 1'!D71/5000)</f>
        <v>6.4659016588382192</v>
      </c>
      <c r="G72" s="358">
        <f>VLOOKUP($A72,[0]!Data,309,FALSE)</f>
        <v>32544</v>
      </c>
      <c r="H72" s="358">
        <f>VLOOKUP($A72,[0]!Data,312,FALSE)</f>
        <v>19722</v>
      </c>
      <c r="I72" s="360">
        <f>VLOOKUP($A72,[0]!Data,311,FALSE)</f>
        <v>59000</v>
      </c>
    </row>
    <row r="73" spans="1:9" x14ac:dyDescent="0.25">
      <c r="A73" s="482" t="str">
        <f>'[2]Table 11'!A72</f>
        <v>NC0006</v>
      </c>
      <c r="B73" s="526" t="str">
        <f>'[2]Table 11'!B72</f>
        <v>CPC</v>
      </c>
      <c r="C73" s="428">
        <f>VLOOKUP($A73,[0]!Data,241,FALSE)</f>
        <v>332</v>
      </c>
      <c r="D73" s="358">
        <f>VLOOKUP($A73,[0]!Data,307,FALSE)</f>
        <v>72</v>
      </c>
      <c r="E73" s="358">
        <f>VLOOKUP($A73,[0]!Data,308,FALSE)</f>
        <v>132</v>
      </c>
      <c r="F73" s="490">
        <f>E73/('Table 1'!D72/5000)</f>
        <v>3.5302801758721398</v>
      </c>
      <c r="G73" s="358">
        <f>VLOOKUP($A73,[0]!Data,309,FALSE)</f>
        <v>90506</v>
      </c>
      <c r="H73" s="358">
        <f>VLOOKUP($A73,[0]!Data,312,FALSE)</f>
        <v>32895</v>
      </c>
      <c r="I73" s="360">
        <f>VLOOKUP($A73,[0]!Data,311,FALSE)</f>
        <v>179970</v>
      </c>
    </row>
    <row r="74" spans="1:9" x14ac:dyDescent="0.25">
      <c r="A74" s="482" t="str">
        <f>'[2]Table 11'!A73</f>
        <v>NC0007</v>
      </c>
      <c r="B74" s="526" t="str">
        <f>'[2]Table 11'!B73</f>
        <v>E. Albemarle</v>
      </c>
      <c r="C74" s="428">
        <f>VLOOKUP($A74,[0]!Data,241,FALSE)</f>
        <v>15</v>
      </c>
      <c r="D74" s="358">
        <f>VLOOKUP($A74,[0]!Data,307,FALSE)</f>
        <v>59</v>
      </c>
      <c r="E74" s="358">
        <f>VLOOKUP($A74,[0]!Data,308,FALSE)</f>
        <v>110</v>
      </c>
      <c r="F74" s="490">
        <f>E74/('Table 1'!D73/5000)</f>
        <v>4.8647166523673482</v>
      </c>
      <c r="G74" s="358">
        <f>VLOOKUP($A74,[0]!Data,309,FALSE)</f>
        <v>64875</v>
      </c>
      <c r="H74" s="358">
        <f>VLOOKUP($A74,[0]!Data,312,FALSE)</f>
        <v>50157</v>
      </c>
      <c r="I74" s="360">
        <f>VLOOKUP($A74,[0]!Data,311,FALSE)</f>
        <v>222225</v>
      </c>
    </row>
    <row r="75" spans="1:9" x14ac:dyDescent="0.25">
      <c r="A75" s="482" t="str">
        <f>'[2]Table 11'!A74</f>
        <v>NC0008</v>
      </c>
      <c r="B75" s="526" t="str">
        <f>'[2]Table 11'!B74</f>
        <v>Fontana</v>
      </c>
      <c r="C75" s="428">
        <f>VLOOKUP($A75,[0]!Data,241,FALSE)</f>
        <v>12793</v>
      </c>
      <c r="D75" s="358">
        <f>VLOOKUP($A75,[0]!Data,307,FALSE)</f>
        <v>98</v>
      </c>
      <c r="E75" s="358">
        <f>VLOOKUP($A75,[0]!Data,308,FALSE)</f>
        <v>122</v>
      </c>
      <c r="F75" s="490">
        <f>E75/('Table 1'!D74/5000)</f>
        <v>6.6797341246810706</v>
      </c>
      <c r="G75" s="358">
        <f>VLOOKUP($A75,[0]!Data,309,FALSE)</f>
        <v>47134</v>
      </c>
      <c r="H75" s="358">
        <f>VLOOKUP($A75,[0]!Data,312,FALSE)</f>
        <v>69851</v>
      </c>
      <c r="I75" s="360">
        <f>VLOOKUP($A75,[0]!Data,311,FALSE)</f>
        <v>73232</v>
      </c>
    </row>
    <row r="76" spans="1:9" x14ac:dyDescent="0.25">
      <c r="A76" s="482" t="str">
        <f>'[2]Table 11'!A75</f>
        <v>NC0011</v>
      </c>
      <c r="B76" s="526" t="str">
        <f>'[2]Table 11'!B75</f>
        <v>Nantahala</v>
      </c>
      <c r="C76" s="428">
        <f>VLOOKUP($A76,[0]!Data,241,FALSE)</f>
        <v>526</v>
      </c>
      <c r="D76" s="358">
        <f>VLOOKUP($A76,[0]!Data,307,FALSE)</f>
        <v>31</v>
      </c>
      <c r="E76" s="358">
        <f>VLOOKUP($A76,[0]!Data,308,FALSE)</f>
        <v>84</v>
      </c>
      <c r="F76" s="490">
        <f>E76/('Table 1'!D75/5000)</f>
        <v>8.6160915767447577</v>
      </c>
      <c r="G76" s="358">
        <f>VLOOKUP($A76,[0]!Data,309,FALSE)</f>
        <v>54504</v>
      </c>
      <c r="H76" s="358">
        <f>VLOOKUP($A76,[0]!Data,312,FALSE)</f>
        <v>11284</v>
      </c>
      <c r="I76" s="360">
        <f>VLOOKUP($A76,[0]!Data,311,FALSE)</f>
        <v>189775</v>
      </c>
    </row>
    <row r="77" spans="1:9" x14ac:dyDescent="0.25">
      <c r="A77" s="482" t="str">
        <f>'[2]Table 11'!A76</f>
        <v>NC0012</v>
      </c>
      <c r="B77" s="526" t="str">
        <f>'[2]Table 11'!B76</f>
        <v>Neuse</v>
      </c>
      <c r="C77" s="428">
        <f>VLOOKUP($A77,[0]!Data,241,FALSE)</f>
        <v>5018</v>
      </c>
      <c r="D77" s="358">
        <f>VLOOKUP($A77,[0]!Data,307,FALSE)</f>
        <v>40</v>
      </c>
      <c r="E77" s="358">
        <f>VLOOKUP($A77,[0]!Data,308,FALSE)</f>
        <v>165</v>
      </c>
      <c r="F77" s="490">
        <f>E77/('Table 1'!D76/5000)</f>
        <v>9.2321120834359132</v>
      </c>
      <c r="G77" s="358">
        <f>VLOOKUP($A77,[0]!Data,309,FALSE)</f>
        <v>94499</v>
      </c>
      <c r="H77" s="358">
        <f>VLOOKUP($A77,[0]!Data,312,FALSE)</f>
        <v>51830</v>
      </c>
      <c r="I77" s="360">
        <f>VLOOKUP($A77,[0]!Data,311,FALSE)</f>
        <v>146788</v>
      </c>
    </row>
    <row r="78" spans="1:9" x14ac:dyDescent="0.25">
      <c r="A78" s="482" t="str">
        <f>'[2]Table 11'!A77</f>
        <v>NC0013</v>
      </c>
      <c r="B78" s="526" t="str">
        <f>'[2]Table 11'!B77</f>
        <v>Northwestern</v>
      </c>
      <c r="C78" s="428">
        <f>VLOOKUP($A78,[0]!Data,241,FALSE)</f>
        <v>211</v>
      </c>
      <c r="D78" s="358">
        <f>VLOOKUP($A78,[0]!Data,307,FALSE)</f>
        <v>52</v>
      </c>
      <c r="E78" s="358">
        <f>VLOOKUP($A78,[0]!Data,308,FALSE)</f>
        <v>160</v>
      </c>
      <c r="F78" s="490">
        <f>E78/('Table 1'!D77/5000)</f>
        <v>4.7471828436812027</v>
      </c>
      <c r="G78" s="358">
        <f>VLOOKUP($A78,[0]!Data,309,FALSE)</f>
        <v>127566</v>
      </c>
      <c r="H78" s="358">
        <f>VLOOKUP($A78,[0]!Data,312,FALSE)</f>
        <v>117070</v>
      </c>
      <c r="I78" s="360">
        <f>VLOOKUP($A78,[0]!Data,311,FALSE)</f>
        <v>0</v>
      </c>
    </row>
    <row r="79" spans="1:9" x14ac:dyDescent="0.25">
      <c r="A79" s="482" t="str">
        <f>'[2]Table 11'!A78</f>
        <v>NC0014</v>
      </c>
      <c r="B79" s="526" t="str">
        <f>'[2]Table 11'!B78</f>
        <v>Pettigrew</v>
      </c>
      <c r="C79" s="428">
        <f>VLOOKUP($A79,[0]!Data,241,FALSE)</f>
        <v>49</v>
      </c>
      <c r="D79" s="358">
        <f>VLOOKUP($A79,[0]!Data,307,FALSE)</f>
        <v>30</v>
      </c>
      <c r="E79" s="358">
        <f>VLOOKUP($A79,[0]!Data,308,FALSE)</f>
        <v>55</v>
      </c>
      <c r="F79" s="490">
        <f>E79/('Table 1'!D78/5000)</f>
        <v>6.1753345908560142</v>
      </c>
      <c r="G79" s="358">
        <f>VLOOKUP($A79,[0]!Data,309,FALSE)</f>
        <v>41000</v>
      </c>
      <c r="H79" s="358">
        <f>VLOOKUP($A79,[0]!Data,312,FALSE)</f>
        <v>71645</v>
      </c>
      <c r="I79" s="360">
        <f>VLOOKUP($A79,[0]!Data,311,FALSE)</f>
        <v>20594</v>
      </c>
    </row>
    <row r="80" spans="1:9" x14ac:dyDescent="0.25">
      <c r="A80" s="482" t="str">
        <f>'[2]Table 11'!A79</f>
        <v>NC0015</v>
      </c>
      <c r="B80" s="526" t="str">
        <f>'[2]Table 11'!B79</f>
        <v>Sandhill</v>
      </c>
      <c r="C80" s="428">
        <f>VLOOKUP($A80,[0]!Data,241,FALSE)</f>
        <v>223</v>
      </c>
      <c r="D80" s="358">
        <f>VLOOKUP($A80,[0]!Data,307,FALSE)</f>
        <v>76</v>
      </c>
      <c r="E80" s="358">
        <f>VLOOKUP($A80,[0]!Data,308,FALSE)</f>
        <v>133</v>
      </c>
      <c r="F80" s="490">
        <f>E80/('Table 1'!D79/5000)</f>
        <v>2.8556950718862191</v>
      </c>
      <c r="G80" s="358">
        <f>VLOOKUP($A80,[0]!Data,309,FALSE)</f>
        <v>66024</v>
      </c>
      <c r="H80" s="358">
        <f>VLOOKUP($A80,[0]!Data,312,FALSE)</f>
        <v>15441</v>
      </c>
      <c r="I80" s="360">
        <f>VLOOKUP($A80,[0]!Data,311,FALSE)</f>
        <v>165598</v>
      </c>
    </row>
    <row r="81" spans="1:9" ht="15.75" thickBot="1" x14ac:dyDescent="0.3">
      <c r="A81" s="648" t="s">
        <v>2091</v>
      </c>
      <c r="B81" s="649"/>
      <c r="C81" s="361">
        <f>AVERAGE(C69:C80)</f>
        <v>1849.75</v>
      </c>
      <c r="D81" s="361">
        <f>SUM(D69:D80)</f>
        <v>593</v>
      </c>
      <c r="E81" s="361">
        <f>SUM(E69:E80)</f>
        <v>1384</v>
      </c>
      <c r="F81" s="503">
        <f>AVERAGE(F69:F80)</f>
        <v>6.1985202817577063</v>
      </c>
      <c r="G81" s="361">
        <f>SUM(G69:G80)</f>
        <v>767824</v>
      </c>
      <c r="H81" s="361">
        <f>SUM(H69:H80)</f>
        <v>535604</v>
      </c>
      <c r="I81" s="48">
        <f>SUM(I69:I80)</f>
        <v>1419108</v>
      </c>
    </row>
    <row r="82" spans="1:9" ht="16.5" thickTop="1" thickBot="1" x14ac:dyDescent="0.3">
      <c r="A82" s="58"/>
      <c r="B82" s="49" t="s">
        <v>1867</v>
      </c>
      <c r="C82" s="528"/>
      <c r="D82" s="53"/>
      <c r="E82" s="53"/>
      <c r="F82" s="53"/>
      <c r="G82" s="53"/>
      <c r="H82" s="53"/>
      <c r="I82" s="54"/>
    </row>
    <row r="83" spans="1:9" ht="15.75" thickTop="1" x14ac:dyDescent="0.25">
      <c r="A83" s="55" t="s">
        <v>897</v>
      </c>
      <c r="B83" s="41" t="str">
        <f>'[2]Table 11'!B82</f>
        <v>Chapel Hill</v>
      </c>
      <c r="C83" s="540">
        <f>VLOOKUP($A83,[0]!Data,241,FALSE)</f>
        <v>849</v>
      </c>
      <c r="D83" s="358">
        <f>VLOOKUP($A83,[0]!Data,307,FALSE)</f>
        <v>41</v>
      </c>
      <c r="E83" s="358">
        <f>VLOOKUP($A83,[0]!Data,308,FALSE)</f>
        <v>69</v>
      </c>
      <c r="F83" s="490">
        <f>E83/('Table 1'!D82/5000)</f>
        <v>5.764218405399987</v>
      </c>
      <c r="G83" s="358">
        <f>VLOOKUP($A83,[0]!Data,309,FALSE)</f>
        <v>0</v>
      </c>
      <c r="H83" s="358">
        <f>VLOOKUP($A83,[0]!Data,312,FALSE)</f>
        <v>20461</v>
      </c>
      <c r="I83" s="368">
        <f>VLOOKUP($A83,[0]!Data,311,FALSE)</f>
        <v>1007499</v>
      </c>
    </row>
    <row r="84" spans="1:9" x14ac:dyDescent="0.25">
      <c r="A84" s="55" t="s">
        <v>1312</v>
      </c>
      <c r="B84" s="41" t="str">
        <f>'[2]Table 11'!B83</f>
        <v>Clayton</v>
      </c>
      <c r="C84" s="428">
        <f>VLOOKUP($A84,[0]!Data,241,FALSE)</f>
        <v>0</v>
      </c>
      <c r="D84" s="358">
        <f>VLOOKUP($A84,[0]!Data,307,FALSE)</f>
        <v>8</v>
      </c>
      <c r="E84" s="358">
        <f>VLOOKUP($A84,[0]!Data,308,FALSE)</f>
        <v>8</v>
      </c>
      <c r="F84" s="490">
        <f>E84/('Table 1'!D83/5000)</f>
        <v>2.0589900653729343</v>
      </c>
      <c r="G84" s="358">
        <f>VLOOKUP($A84,[0]!Data,309,FALSE)</f>
        <v>6942</v>
      </c>
      <c r="H84" s="358">
        <f>VLOOKUP($A84,[0]!Data,312,FALSE)</f>
        <v>25308</v>
      </c>
      <c r="I84" s="360">
        <f>VLOOKUP($A84,[0]!Data,311,FALSE)</f>
        <v>31012</v>
      </c>
    </row>
    <row r="85" spans="1:9" x14ac:dyDescent="0.25">
      <c r="A85" s="55" t="s">
        <v>1100</v>
      </c>
      <c r="B85" s="41" t="str">
        <f>'[2]Table 11'!B84</f>
        <v>Farmville</v>
      </c>
      <c r="C85" s="428">
        <f>VLOOKUP($A85,[0]!Data,241,FALSE)</f>
        <v>279</v>
      </c>
      <c r="D85" s="358">
        <f>VLOOKUP($A85,[0]!Data,307,FALSE)</f>
        <v>7</v>
      </c>
      <c r="E85" s="358">
        <f>VLOOKUP($A85,[0]!Data,308,FALSE)</f>
        <v>20</v>
      </c>
      <c r="F85" s="490">
        <f>E85/('Table 1'!D84/5000)</f>
        <v>21.413276231263382</v>
      </c>
      <c r="G85" s="358">
        <f>VLOOKUP($A85,[0]!Data,309,FALSE)</f>
        <v>8689</v>
      </c>
      <c r="H85" s="358">
        <f>VLOOKUP($A85,[0]!Data,312,FALSE)</f>
        <v>4434</v>
      </c>
      <c r="I85" s="360">
        <f>VLOOKUP($A85,[0]!Data,311,FALSE)</f>
        <v>27459</v>
      </c>
    </row>
    <row r="86" spans="1:9" x14ac:dyDescent="0.25">
      <c r="A86" s="55" t="s">
        <v>1281</v>
      </c>
      <c r="B86" s="41" t="str">
        <f>'[2]Table 11'!B85</f>
        <v>Hickory</v>
      </c>
      <c r="C86" s="428">
        <f>VLOOKUP($A86,[0]!Data,241,FALSE)</f>
        <v>248</v>
      </c>
      <c r="D86" s="358">
        <f>VLOOKUP($A86,[0]!Data,307,FALSE)</f>
        <v>35</v>
      </c>
      <c r="E86" s="358">
        <f>VLOOKUP($A86,[0]!Data,308,FALSE)</f>
        <v>56</v>
      </c>
      <c r="F86" s="490">
        <f>E86/('Table 1'!D85/5000)</f>
        <v>6.9216127357674333</v>
      </c>
      <c r="G86" s="358">
        <f>VLOOKUP($A86,[0]!Data,309,FALSE)</f>
        <v>48472</v>
      </c>
      <c r="H86" s="358">
        <f>VLOOKUP($A86,[0]!Data,312,FALSE)</f>
        <v>0</v>
      </c>
      <c r="I86" s="360">
        <f>VLOOKUP($A86,[0]!Data,311,FALSE)</f>
        <v>0</v>
      </c>
    </row>
    <row r="87" spans="1:9" x14ac:dyDescent="0.25">
      <c r="A87" s="55" t="s">
        <v>1297</v>
      </c>
      <c r="B87" s="41" t="str">
        <f>'[2]Table 11'!B86</f>
        <v>High Point</v>
      </c>
      <c r="C87" s="428">
        <f>VLOOKUP($A87,[0]!Data,241,FALSE)</f>
        <v>263</v>
      </c>
      <c r="D87" s="358">
        <f>VLOOKUP($A87,[0]!Data,307,FALSE)</f>
        <v>102</v>
      </c>
      <c r="E87" s="358">
        <f>VLOOKUP($A87,[0]!Data,308,FALSE)</f>
        <v>117</v>
      </c>
      <c r="F87" s="490">
        <f>E87/('Table 1'!D86/5000)</f>
        <v>5.3064112332643951</v>
      </c>
      <c r="G87" s="358">
        <f>VLOOKUP($A87,[0]!Data,309,FALSE)</f>
        <v>58107</v>
      </c>
      <c r="H87" s="358">
        <f>VLOOKUP($A87,[0]!Data,312,FALSE)</f>
        <v>18678</v>
      </c>
      <c r="I87" s="360">
        <f>VLOOKUP($A87,[0]!Data,311,FALSE)</f>
        <v>131381</v>
      </c>
    </row>
    <row r="88" spans="1:9" x14ac:dyDescent="0.25">
      <c r="A88" s="55" t="s">
        <v>1341</v>
      </c>
      <c r="B88" s="41" t="str">
        <f>'[2]Table 11'!B87</f>
        <v>Kings Mountain</v>
      </c>
      <c r="C88" s="428">
        <f>VLOOKUP($A88,[0]!Data,241,FALSE)</f>
        <v>20</v>
      </c>
      <c r="D88" s="358">
        <f>VLOOKUP($A88,[0]!Data,307,FALSE)</f>
        <v>11</v>
      </c>
      <c r="E88" s="358">
        <f>VLOOKUP($A88,[0]!Data,308,FALSE)</f>
        <v>29</v>
      </c>
      <c r="F88" s="490">
        <f>E88/('Table 1'!D87/5000)</f>
        <v>13.527381285567683</v>
      </c>
      <c r="G88" s="358">
        <f>VLOOKUP($A88,[0]!Data,309,FALSE)</f>
        <v>21927</v>
      </c>
      <c r="H88" s="358">
        <f>VLOOKUP($A88,[0]!Data,312,FALSE)</f>
        <v>20075</v>
      </c>
      <c r="I88" s="360">
        <f>VLOOKUP($A88,[0]!Data,311,FALSE)</f>
        <v>35322</v>
      </c>
    </row>
    <row r="89" spans="1:9" x14ac:dyDescent="0.25">
      <c r="A89" s="55" t="s">
        <v>1409</v>
      </c>
      <c r="B89" s="41" t="str">
        <f>'[2]Table 11'!B88</f>
        <v>Mooresville</v>
      </c>
      <c r="C89" s="428">
        <f>VLOOKUP($A89,[0]!Data,241,FALSE)</f>
        <v>91</v>
      </c>
      <c r="D89" s="358">
        <f>VLOOKUP($A89,[0]!Data,307,FALSE)</f>
        <v>30</v>
      </c>
      <c r="E89" s="358">
        <f>VLOOKUP($A89,[0]!Data,308,FALSE)</f>
        <v>47</v>
      </c>
      <c r="F89" s="490">
        <f>E89/('Table 1'!D88/5000)</f>
        <v>6.015153066448244</v>
      </c>
      <c r="G89" s="358">
        <f>VLOOKUP($A89,[0]!Data,309,FALSE)</f>
        <v>32882</v>
      </c>
      <c r="H89" s="358">
        <f>VLOOKUP($A89,[0]!Data,312,FALSE)</f>
        <v>18854</v>
      </c>
      <c r="I89" s="360">
        <f>VLOOKUP($A89,[0]!Data,311,FALSE)</f>
        <v>60455</v>
      </c>
    </row>
    <row r="90" spans="1:9" x14ac:dyDescent="0.25">
      <c r="A90" s="55" t="s">
        <v>1245</v>
      </c>
      <c r="B90" s="41" t="str">
        <f>'[2]Table 11'!B89</f>
        <v>Nashville</v>
      </c>
      <c r="C90" s="428">
        <f>VLOOKUP($A90,[0]!Data,241,FALSE)</f>
        <v>326</v>
      </c>
      <c r="D90" s="358">
        <f>VLOOKUP($A90,[0]!Data,307,FALSE)</f>
        <v>4</v>
      </c>
      <c r="E90" s="358">
        <f>VLOOKUP($A90,[0]!Data,308,FALSE)</f>
        <v>25</v>
      </c>
      <c r="F90" s="490">
        <f>E90/('Table 1'!D89/5000)</f>
        <v>23.896004588032881</v>
      </c>
      <c r="G90" s="358">
        <f>VLOOKUP($A90,[0]!Data,309,FALSE)</f>
        <v>8054</v>
      </c>
      <c r="H90" s="358">
        <f>VLOOKUP($A90,[0]!Data,312,FALSE)</f>
        <v>5261</v>
      </c>
      <c r="I90" s="360">
        <f>VLOOKUP($A90,[0]!Data,311,FALSE)</f>
        <v>39142</v>
      </c>
    </row>
    <row r="91" spans="1:9" x14ac:dyDescent="0.25">
      <c r="A91" s="55" t="s">
        <v>1613</v>
      </c>
      <c r="B91" s="41" t="str">
        <f>'[2]Table 11'!B90</f>
        <v>Roanoke Rapids</v>
      </c>
      <c r="C91" s="428">
        <f>VLOOKUP($A91,[0]!Data,241,FALSE)</f>
        <v>20</v>
      </c>
      <c r="D91" s="358">
        <f>VLOOKUP($A91,[0]!Data,307,FALSE)</f>
        <v>8</v>
      </c>
      <c r="E91" s="358">
        <f>VLOOKUP($A91,[0]!Data,308,FALSE)</f>
        <v>13</v>
      </c>
      <c r="F91" s="490">
        <f>E91/('Table 1'!D90/5000)</f>
        <v>4.3043507052513075</v>
      </c>
      <c r="G91" s="358">
        <f>VLOOKUP($A91,[0]!Data,309,FALSE)</f>
        <v>5384</v>
      </c>
      <c r="H91" s="358">
        <f>VLOOKUP($A91,[0]!Data,312,FALSE)</f>
        <v>0</v>
      </c>
      <c r="I91" s="360">
        <f>VLOOKUP($A91,[0]!Data,311,FALSE)</f>
        <v>35000</v>
      </c>
    </row>
    <row r="92" spans="1:9" x14ac:dyDescent="0.25">
      <c r="A92" s="55" t="s">
        <v>1742</v>
      </c>
      <c r="B92" s="41" t="str">
        <f>'[2]Table 11'!B91</f>
        <v>Southern Pines</v>
      </c>
      <c r="C92" s="428">
        <f>VLOOKUP($A92,[0]!Data,241,FALSE)</f>
        <v>82</v>
      </c>
      <c r="D92" s="358">
        <f>VLOOKUP($A92,[0]!Data,307,FALSE)</f>
        <v>12</v>
      </c>
      <c r="E92" s="358">
        <f>VLOOKUP($A92,[0]!Data,308,FALSE)</f>
        <v>16</v>
      </c>
      <c r="F92" s="490">
        <f>E92/('Table 1'!D91/5000)</f>
        <v>5.8156440825821463</v>
      </c>
      <c r="G92" s="358">
        <f>VLOOKUP($A92,[0]!Data,309,FALSE)</f>
        <v>6841</v>
      </c>
      <c r="H92" s="358">
        <f>VLOOKUP($A92,[0]!Data,312,FALSE)</f>
        <v>7553</v>
      </c>
      <c r="I92" s="360">
        <f>VLOOKUP($A92,[0]!Data,311,FALSE)</f>
        <v>40607</v>
      </c>
    </row>
    <row r="93" spans="1:9" x14ac:dyDescent="0.25">
      <c r="A93" s="55" t="s">
        <v>1178</v>
      </c>
      <c r="B93" s="41" t="str">
        <f>'[2]Table 11'!B92</f>
        <v>Washington</v>
      </c>
      <c r="C93" s="428">
        <f>VLOOKUP($A93,[0]!Data,241,FALSE)</f>
        <v>1239</v>
      </c>
      <c r="D93" s="358">
        <f>VLOOKUP($A93,[0]!Data,307,FALSE)</f>
        <v>8</v>
      </c>
      <c r="E93" s="358">
        <f>VLOOKUP($A93,[0]!Data,308,FALSE)</f>
        <v>27</v>
      </c>
      <c r="F93" s="490">
        <f>E93/('Table 1'!D92/5000)</f>
        <v>14.119861939127707</v>
      </c>
      <c r="G93" s="358">
        <f>VLOOKUP($A93,[0]!Data,309,FALSE)</f>
        <v>7667</v>
      </c>
      <c r="H93" s="358">
        <f>VLOOKUP($A93,[0]!Data,312,FALSE)</f>
        <v>9968</v>
      </c>
      <c r="I93" s="360">
        <f>VLOOKUP($A93,[0]!Data,311,FALSE)</f>
        <v>0</v>
      </c>
    </row>
    <row r="94" spans="1:9" ht="15.75" thickBot="1" x14ac:dyDescent="0.3">
      <c r="A94" s="648" t="s">
        <v>2091</v>
      </c>
      <c r="B94" s="649"/>
      <c r="C94" s="529">
        <f>AVERAGE(C83:C93)</f>
        <v>310.63636363636363</v>
      </c>
      <c r="D94" s="61">
        <f>SUM(D83:D93)</f>
        <v>266</v>
      </c>
      <c r="E94" s="61">
        <f>SUM(E83:E93)</f>
        <v>427</v>
      </c>
      <c r="F94" s="504">
        <f>AVERAGE(F83:F93)</f>
        <v>9.9220822125525547</v>
      </c>
      <c r="G94" s="61">
        <f>SUM(G83:G93)</f>
        <v>204965</v>
      </c>
      <c r="H94" s="61">
        <f>SUM(H83:H93)</f>
        <v>130592</v>
      </c>
      <c r="I94" s="64">
        <f>SUM(I83:I93)</f>
        <v>1407877</v>
      </c>
    </row>
    <row r="95" spans="1:9" ht="15.75" thickTop="1" x14ac:dyDescent="0.25">
      <c r="A95" s="23"/>
      <c r="B95" s="24"/>
      <c r="C95" s="530"/>
      <c r="D95" s="13"/>
      <c r="E95" s="13"/>
      <c r="F95" s="13"/>
      <c r="G95" s="13"/>
      <c r="H95" s="531"/>
      <c r="I95" s="532"/>
    </row>
    <row r="96" spans="1:9" s="90" customFormat="1" ht="13.5" thickBot="1" x14ac:dyDescent="0.25">
      <c r="A96" s="691" t="s">
        <v>2101</v>
      </c>
      <c r="B96" s="670"/>
      <c r="C96" s="361">
        <f>SUM(C83:C93,C69:C80,C9:C58,C60:C66)</f>
        <v>101062</v>
      </c>
      <c r="D96" s="361">
        <f>SUM(D83:D93,D69:D80,D9:D58,D60:D66)</f>
        <v>4087</v>
      </c>
      <c r="E96" s="361">
        <f>SUM(E83:E93,E69:E80,E9:E58,E60:E66)</f>
        <v>7569</v>
      </c>
      <c r="F96" s="503">
        <f>AVERAGE(F83:F93,F69:F80,F9:F58,F60:F66)</f>
        <v>5.0389846265277338</v>
      </c>
      <c r="G96" s="361">
        <f>SUM(G83:G93,G69:G80,G9:G58,G60:G66)</f>
        <v>5924918</v>
      </c>
      <c r="H96" s="361">
        <f>SUM(H83:H93,H69:H80,H9:H58,H60:H66)</f>
        <v>4234490</v>
      </c>
      <c r="I96" s="48">
        <f>SUM(I83:I93,I69:I80,I9:I58,I60:I66)</f>
        <v>37517253</v>
      </c>
    </row>
    <row r="97" spans="1:9" s="90" customFormat="1" ht="13.5" thickTop="1" x14ac:dyDescent="0.2">
      <c r="A97" s="280"/>
      <c r="B97" s="280" t="s">
        <v>2092</v>
      </c>
      <c r="C97" s="533" t="s">
        <v>1873</v>
      </c>
      <c r="D97" s="280" t="s">
        <v>1873</v>
      </c>
      <c r="E97" s="280" t="s">
        <v>1873</v>
      </c>
      <c r="F97" s="280" t="s">
        <v>2070</v>
      </c>
      <c r="G97" s="280" t="s">
        <v>1873</v>
      </c>
      <c r="H97" s="534" t="s">
        <v>1873</v>
      </c>
      <c r="I97" s="533" t="s">
        <v>1873</v>
      </c>
    </row>
  </sheetData>
  <mergeCells count="6">
    <mergeCell ref="A96:B96"/>
    <mergeCell ref="D4:F4"/>
    <mergeCell ref="A67:B67"/>
    <mergeCell ref="A68:B68"/>
    <mergeCell ref="A81:B81"/>
    <mergeCell ref="A94:B9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96"/>
  <sheetViews>
    <sheetView topLeftCell="A22" workbookViewId="0">
      <selection activeCell="O28" sqref="O28"/>
    </sheetView>
  </sheetViews>
  <sheetFormatPr defaultColWidth="8.85546875" defaultRowHeight="12.75" x14ac:dyDescent="0.2"/>
  <cols>
    <col min="1" max="1" width="6.7109375" style="122" customWidth="1"/>
    <col min="2" max="3" width="21.140625" style="122" customWidth="1"/>
    <col min="4" max="4" width="10.42578125" style="122" customWidth="1"/>
    <col min="5" max="5" width="9" style="122" customWidth="1"/>
    <col min="6" max="6" width="9.7109375" style="122" customWidth="1"/>
    <col min="7" max="7" width="12.140625" style="122" customWidth="1"/>
    <col min="8" max="9" width="10.42578125" style="122" customWidth="1"/>
    <col min="10" max="10" width="11.42578125" style="122" customWidth="1"/>
    <col min="11" max="11" width="11.7109375" style="122" customWidth="1"/>
    <col min="12" max="12" width="12.140625" style="122" customWidth="1"/>
    <col min="13" max="13" width="10.85546875" style="122" customWidth="1"/>
    <col min="14" max="15" width="10.42578125" style="122" customWidth="1"/>
    <col min="16" max="16" width="8.85546875" style="122"/>
    <col min="17" max="17" width="10.42578125" style="122" customWidth="1"/>
    <col min="18" max="16384" width="8.85546875" style="122"/>
  </cols>
  <sheetData>
    <row r="1" spans="1:17" ht="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O1" s="541"/>
      <c r="Q1" s="15" t="s">
        <v>2271</v>
      </c>
    </row>
    <row r="2" spans="1:17" ht="15.75" x14ac:dyDescent="0.25">
      <c r="A2" s="207" t="s">
        <v>2115</v>
      </c>
      <c r="B2" s="371"/>
      <c r="C2" s="371"/>
      <c r="D2" s="371"/>
      <c r="E2" s="371"/>
      <c r="F2" s="16"/>
      <c r="G2" s="16"/>
      <c r="H2" s="371"/>
      <c r="I2" s="371"/>
      <c r="J2" s="371"/>
      <c r="K2" s="371"/>
      <c r="L2" s="371"/>
      <c r="O2" s="542"/>
      <c r="Q2" s="22" t="s">
        <v>2004</v>
      </c>
    </row>
    <row r="3" spans="1:17" ht="15.75" thickBot="1" x14ac:dyDescent="0.3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7" ht="13.5" thickTop="1" x14ac:dyDescent="0.2">
      <c r="A4" s="96"/>
      <c r="B4" s="638"/>
      <c r="C4" s="468" t="s">
        <v>2116</v>
      </c>
      <c r="D4" s="680" t="s">
        <v>2117</v>
      </c>
      <c r="E4" s="681"/>
      <c r="F4" s="681"/>
      <c r="G4" s="681"/>
      <c r="H4" s="681"/>
      <c r="I4" s="680" t="s">
        <v>2118</v>
      </c>
      <c r="J4" s="681"/>
      <c r="K4" s="681"/>
      <c r="L4" s="681"/>
      <c r="M4" s="681"/>
      <c r="N4" s="680" t="s">
        <v>2119</v>
      </c>
      <c r="O4" s="681"/>
      <c r="P4" s="681"/>
      <c r="Q4" s="682"/>
    </row>
    <row r="5" spans="1:17" x14ac:dyDescent="0.2">
      <c r="A5" s="99"/>
      <c r="B5" s="683"/>
      <c r="C5" s="543" t="s">
        <v>2120</v>
      </c>
      <c r="D5" s="494" t="s">
        <v>2121</v>
      </c>
      <c r="E5" s="494" t="s">
        <v>2122</v>
      </c>
      <c r="F5" s="496" t="s">
        <v>2123</v>
      </c>
      <c r="G5" s="496" t="s">
        <v>2124</v>
      </c>
      <c r="H5" s="496" t="s">
        <v>2031</v>
      </c>
      <c r="I5" s="544" t="s">
        <v>2121</v>
      </c>
      <c r="J5" s="545" t="s">
        <v>2122</v>
      </c>
      <c r="K5" s="546" t="s">
        <v>2123</v>
      </c>
      <c r="L5" s="546" t="s">
        <v>2124</v>
      </c>
      <c r="M5" s="547" t="s">
        <v>2031</v>
      </c>
      <c r="N5" s="494" t="s">
        <v>2121</v>
      </c>
      <c r="O5" s="494" t="s">
        <v>2122</v>
      </c>
      <c r="P5" s="496" t="s">
        <v>2123</v>
      </c>
      <c r="Q5" s="494" t="s">
        <v>2031</v>
      </c>
    </row>
    <row r="6" spans="1:17" ht="13.5" thickBot="1" x14ac:dyDescent="0.25">
      <c r="A6" s="103"/>
      <c r="B6" s="684"/>
      <c r="C6" s="548" t="s">
        <v>2125</v>
      </c>
      <c r="D6" s="477" t="s">
        <v>2126</v>
      </c>
      <c r="E6" s="477" t="s">
        <v>2127</v>
      </c>
      <c r="F6" s="500" t="s">
        <v>2097</v>
      </c>
      <c r="G6" s="500" t="s">
        <v>2128</v>
      </c>
      <c r="H6" s="500" t="s">
        <v>2129</v>
      </c>
      <c r="I6" s="549" t="s">
        <v>2126</v>
      </c>
      <c r="J6" s="550" t="s">
        <v>2127</v>
      </c>
      <c r="K6" s="551" t="s">
        <v>2097</v>
      </c>
      <c r="L6" s="551" t="s">
        <v>2128</v>
      </c>
      <c r="M6" s="552" t="s">
        <v>2129</v>
      </c>
      <c r="N6" s="477" t="s">
        <v>2126</v>
      </c>
      <c r="O6" s="477" t="s">
        <v>2127</v>
      </c>
      <c r="P6" s="500" t="s">
        <v>2097</v>
      </c>
      <c r="Q6" s="477" t="s">
        <v>2129</v>
      </c>
    </row>
    <row r="7" spans="1:17" ht="14.25" thickTop="1" thickBot="1" x14ac:dyDescent="0.25">
      <c r="A7" s="34"/>
      <c r="B7" s="49" t="s">
        <v>1863</v>
      </c>
      <c r="C7" s="49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58"/>
      <c r="Q7" s="553"/>
    </row>
    <row r="8" spans="1:17" ht="13.5" thickTop="1" x14ac:dyDescent="0.2">
      <c r="A8" s="40" t="str">
        <f>'[2]Table 13'!A9</f>
        <v>NC0103</v>
      </c>
      <c r="B8" s="41" t="str">
        <f>'[2]Table 13'!B9</f>
        <v>Alamance</v>
      </c>
      <c r="C8" s="428" t="str">
        <f>VLOOKUP($A8,[0]!Data,15,FALSE)</f>
        <v>Yes</v>
      </c>
      <c r="D8" s="358">
        <f>VLOOKUP($A8,[0]!Data,16,FALSE)</f>
        <v>1580</v>
      </c>
      <c r="E8" s="358">
        <f>VLOOKUP($A8,[0]!Data,18,FALSE)</f>
        <v>185</v>
      </c>
      <c r="F8" s="358">
        <f>VLOOKUP($A8,[0]!Data,20,FALSE)</f>
        <v>5327</v>
      </c>
      <c r="G8" s="358">
        <f>VLOOKUP($A8,[0]!Data,24,FALSE)</f>
        <v>187121</v>
      </c>
      <c r="H8" s="358">
        <f>VLOOKUP($A8,[0]!Data,22,FALSE)</f>
        <v>53695</v>
      </c>
      <c r="I8" s="358">
        <f>VLOOKUP($A8,[0]!Data,17,FALSE)</f>
        <v>228</v>
      </c>
      <c r="J8" s="358">
        <f>VLOOKUP($A8,[0]!Data,19,FALSE)</f>
        <v>19</v>
      </c>
      <c r="K8" s="358">
        <f>VLOOKUP($A8,[0]!Data,21,FALSE)</f>
        <v>173</v>
      </c>
      <c r="L8" s="358">
        <f>VLOOKUP($A8,[0]!Data,25,FALSE)</f>
        <v>31530</v>
      </c>
      <c r="M8" s="358">
        <f>VLOOKUP($A8,[0]!Data,23,FALSE)</f>
        <v>6594</v>
      </c>
      <c r="N8" s="358">
        <f>SUM(D8,I8)</f>
        <v>1808</v>
      </c>
      <c r="O8" s="358">
        <f>SUM(E8,J8)</f>
        <v>204</v>
      </c>
      <c r="P8" s="358">
        <f>SUM(F8,K8)</f>
        <v>5500</v>
      </c>
      <c r="Q8" s="360">
        <f>SUM(H8,M8)</f>
        <v>60289</v>
      </c>
    </row>
    <row r="9" spans="1:17" x14ac:dyDescent="0.2">
      <c r="A9" s="40" t="str">
        <f>'[2]Table 13'!A10</f>
        <v>NC0016</v>
      </c>
      <c r="B9" s="41" t="str">
        <f>'[2]Table 13'!B10</f>
        <v>Alexander</v>
      </c>
      <c r="C9" s="428" t="str">
        <f>VLOOKUP($A9,[0]!Data,15,FALSE)</f>
        <v>Yes</v>
      </c>
      <c r="D9" s="358">
        <f>VLOOKUP($A9,[0]!Data,16,FALSE)</f>
        <v>567</v>
      </c>
      <c r="E9" s="358">
        <f>VLOOKUP($A9,[0]!Data,18,FALSE)</f>
        <v>39</v>
      </c>
      <c r="F9" s="358">
        <f>VLOOKUP($A9,[0]!Data,20,FALSE)</f>
        <v>1443</v>
      </c>
      <c r="G9" s="358">
        <f>VLOOKUP($A9,[0]!Data,24,FALSE)</f>
        <v>718455</v>
      </c>
      <c r="H9" s="358">
        <f>VLOOKUP($A9,[0]!Data,22,FALSE)</f>
        <v>9294</v>
      </c>
      <c r="I9" s="358">
        <f>VLOOKUP($A9,[0]!Data,17,FALSE)</f>
        <v>97</v>
      </c>
      <c r="J9" s="358">
        <f>VLOOKUP($A9,[0]!Data,19,FALSE)</f>
        <v>2</v>
      </c>
      <c r="K9" s="358">
        <f>VLOOKUP($A9,[0]!Data,21,FALSE)</f>
        <v>41</v>
      </c>
      <c r="L9" s="358">
        <f>VLOOKUP($A9,[0]!Data,25,FALSE)</f>
        <v>233437</v>
      </c>
      <c r="M9" s="358">
        <f>VLOOKUP($A9,[0]!Data,23,FALSE)</f>
        <v>1655</v>
      </c>
      <c r="N9" s="358">
        <f t="shared" ref="N9:N65" si="0">SUM(D9,I9)</f>
        <v>664</v>
      </c>
      <c r="O9" s="358">
        <f t="shared" ref="O9:O65" si="1">SUM(E9,J9)</f>
        <v>41</v>
      </c>
      <c r="P9" s="358">
        <f t="shared" ref="P9:P65" si="2">SUM(F9,K9)</f>
        <v>1484</v>
      </c>
      <c r="Q9" s="360">
        <f t="shared" ref="Q9:Q65" si="3">SUM(H9,M9)</f>
        <v>10949</v>
      </c>
    </row>
    <row r="10" spans="1:17" x14ac:dyDescent="0.2">
      <c r="A10" s="40" t="str">
        <f>'[2]Table 13'!A11</f>
        <v>NC0017</v>
      </c>
      <c r="B10" s="41" t="str">
        <f>'[2]Table 13'!B11</f>
        <v>Bladen</v>
      </c>
      <c r="C10" s="428" t="str">
        <f>VLOOKUP($A10,[0]!Data,15,FALSE)</f>
        <v>Yes</v>
      </c>
      <c r="D10" s="358">
        <f>VLOOKUP($A10,[0]!Data,16,FALSE)</f>
        <v>0</v>
      </c>
      <c r="E10" s="358">
        <f>VLOOKUP($A10,[0]!Data,18,FALSE)</f>
        <v>27</v>
      </c>
      <c r="F10" s="358">
        <f>VLOOKUP($A10,[0]!Data,20,FALSE)</f>
        <v>699</v>
      </c>
      <c r="G10" s="358">
        <f>VLOOKUP($A10,[0]!Data,24,FALSE)</f>
        <v>0</v>
      </c>
      <c r="H10" s="358">
        <f>VLOOKUP($A10,[0]!Data,22,FALSE)</f>
        <v>3108</v>
      </c>
      <c r="I10" s="358">
        <f>VLOOKUP($A10,[0]!Data,17,FALSE)</f>
        <v>0</v>
      </c>
      <c r="J10" s="358">
        <f>VLOOKUP($A10,[0]!Data,19,FALSE)</f>
        <v>0</v>
      </c>
      <c r="K10" s="358">
        <f>VLOOKUP($A10,[0]!Data,21,FALSE)</f>
        <v>0</v>
      </c>
      <c r="L10" s="358">
        <f>VLOOKUP($A10,[0]!Data,25,FALSE)</f>
        <v>0</v>
      </c>
      <c r="M10" s="358">
        <f>VLOOKUP($A10,[0]!Data,23,FALSE)</f>
        <v>53</v>
      </c>
      <c r="N10" s="358">
        <f t="shared" si="0"/>
        <v>0</v>
      </c>
      <c r="O10" s="358">
        <f t="shared" si="1"/>
        <v>27</v>
      </c>
      <c r="P10" s="358">
        <f t="shared" si="2"/>
        <v>699</v>
      </c>
      <c r="Q10" s="360">
        <f t="shared" si="3"/>
        <v>3161</v>
      </c>
    </row>
    <row r="11" spans="1:17" x14ac:dyDescent="0.2">
      <c r="A11" s="40" t="str">
        <f>'[2]Table 13'!A12</f>
        <v>NC0018</v>
      </c>
      <c r="B11" s="41" t="str">
        <f>'[2]Table 13'!B12</f>
        <v>Brunswick</v>
      </c>
      <c r="C11" s="428" t="str">
        <f>VLOOKUP($A11,[0]!Data,15,FALSE)</f>
        <v>No</v>
      </c>
      <c r="D11" s="358">
        <f>VLOOKUP($A11,[0]!Data,16,FALSE)</f>
        <v>659</v>
      </c>
      <c r="E11" s="358">
        <f>VLOOKUP($A11,[0]!Data,18,FALSE)</f>
        <v>50</v>
      </c>
      <c r="F11" s="358">
        <f>VLOOKUP($A11,[0]!Data,20,FALSE)</f>
        <v>2876</v>
      </c>
      <c r="G11" s="358">
        <f>VLOOKUP($A11,[0]!Data,24,FALSE)</f>
        <v>286734</v>
      </c>
      <c r="H11" s="358">
        <f>VLOOKUP($A11,[0]!Data,22,FALSE)</f>
        <v>21004</v>
      </c>
      <c r="I11" s="358">
        <f>VLOOKUP($A11,[0]!Data,17,FALSE)</f>
        <v>0</v>
      </c>
      <c r="J11" s="358">
        <f>VLOOKUP($A11,[0]!Data,19,FALSE)</f>
        <v>0</v>
      </c>
      <c r="K11" s="358">
        <f>VLOOKUP($A11,[0]!Data,21,FALSE)</f>
        <v>0</v>
      </c>
      <c r="L11" s="358">
        <f>VLOOKUP($A11,[0]!Data,25,FALSE)</f>
        <v>0</v>
      </c>
      <c r="M11" s="358">
        <f>VLOOKUP($A11,[0]!Data,23,FALSE)</f>
        <v>0</v>
      </c>
      <c r="N11" s="358">
        <f t="shared" si="0"/>
        <v>659</v>
      </c>
      <c r="O11" s="358">
        <f t="shared" si="1"/>
        <v>50</v>
      </c>
      <c r="P11" s="358">
        <f t="shared" si="2"/>
        <v>2876</v>
      </c>
      <c r="Q11" s="360">
        <f t="shared" si="3"/>
        <v>21004</v>
      </c>
    </row>
    <row r="12" spans="1:17" x14ac:dyDescent="0.2">
      <c r="A12" s="40" t="str">
        <f>'[2]Table 13'!A13</f>
        <v>NC0019</v>
      </c>
      <c r="B12" s="41" t="str">
        <f>'[2]Table 13'!B13</f>
        <v>Buncombe</v>
      </c>
      <c r="C12" s="428" t="str">
        <f>VLOOKUP($A12,[0]!Data,15,FALSE)</f>
        <v>Yes</v>
      </c>
      <c r="D12" s="358">
        <f>VLOOKUP($A12,[0]!Data,16,FALSE)</f>
        <v>5869</v>
      </c>
      <c r="E12" s="358">
        <f>VLOOKUP($A12,[0]!Data,18,FALSE)</f>
        <v>573</v>
      </c>
      <c r="F12" s="358">
        <f>VLOOKUP($A12,[0]!Data,20,FALSE)</f>
        <v>22499</v>
      </c>
      <c r="G12" s="358">
        <f>VLOOKUP($A12,[0]!Data,24,FALSE)</f>
        <v>10787964</v>
      </c>
      <c r="H12" s="358">
        <f>VLOOKUP($A12,[0]!Data,22,FALSE)</f>
        <v>163454</v>
      </c>
      <c r="I12" s="358">
        <f>VLOOKUP($A12,[0]!Data,17,FALSE)</f>
        <v>409</v>
      </c>
      <c r="J12" s="358">
        <f>VLOOKUP($A12,[0]!Data,19,FALSE)</f>
        <v>21</v>
      </c>
      <c r="K12" s="358">
        <f>VLOOKUP($A12,[0]!Data,21,FALSE)</f>
        <v>479</v>
      </c>
      <c r="L12" s="358">
        <f>VLOOKUP($A12,[0]!Data,25,FALSE)</f>
        <v>3653640</v>
      </c>
      <c r="M12" s="358">
        <f>VLOOKUP($A12,[0]!Data,23,FALSE)</f>
        <v>13532</v>
      </c>
      <c r="N12" s="358">
        <f t="shared" si="0"/>
        <v>6278</v>
      </c>
      <c r="O12" s="358">
        <f t="shared" si="1"/>
        <v>594</v>
      </c>
      <c r="P12" s="358">
        <f t="shared" si="2"/>
        <v>22978</v>
      </c>
      <c r="Q12" s="360">
        <f t="shared" si="3"/>
        <v>176986</v>
      </c>
    </row>
    <row r="13" spans="1:17" x14ac:dyDescent="0.2">
      <c r="A13" s="40" t="str">
        <f>'[2]Table 13'!A14</f>
        <v>NC0020</v>
      </c>
      <c r="B13" s="41" t="str">
        <f>'[2]Table 13'!B14</f>
        <v>Burke</v>
      </c>
      <c r="C13" s="428" t="str">
        <f>VLOOKUP($A13,[0]!Data,15,FALSE)</f>
        <v>Yes</v>
      </c>
      <c r="D13" s="358">
        <f>VLOOKUP($A13,[0]!Data,16,FALSE)</f>
        <v>640</v>
      </c>
      <c r="E13" s="358">
        <f>VLOOKUP($A13,[0]!Data,18,FALSE)</f>
        <v>185</v>
      </c>
      <c r="F13" s="358">
        <f>VLOOKUP($A13,[0]!Data,20,FALSE)</f>
        <v>4398</v>
      </c>
      <c r="G13" s="358">
        <f>VLOOKUP($A13,[0]!Data,24,FALSE)</f>
        <v>233334</v>
      </c>
      <c r="H13" s="358">
        <f>VLOOKUP($A13,[0]!Data,22,FALSE)</f>
        <v>21942</v>
      </c>
      <c r="I13" s="358">
        <f>VLOOKUP($A13,[0]!Data,17,FALSE)</f>
        <v>175</v>
      </c>
      <c r="J13" s="358">
        <f>VLOOKUP($A13,[0]!Data,19,FALSE)</f>
        <v>29</v>
      </c>
      <c r="K13" s="358">
        <f>VLOOKUP($A13,[0]!Data,21,FALSE)</f>
        <v>936</v>
      </c>
      <c r="L13" s="358">
        <f>VLOOKUP($A13,[0]!Data,25,FALSE)</f>
        <v>0</v>
      </c>
      <c r="M13" s="358">
        <f>VLOOKUP($A13,[0]!Data,23,FALSE)</f>
        <v>4057</v>
      </c>
      <c r="N13" s="358">
        <f t="shared" si="0"/>
        <v>815</v>
      </c>
      <c r="O13" s="358">
        <f t="shared" si="1"/>
        <v>214</v>
      </c>
      <c r="P13" s="358">
        <f t="shared" si="2"/>
        <v>5334</v>
      </c>
      <c r="Q13" s="360">
        <f t="shared" si="3"/>
        <v>25999</v>
      </c>
    </row>
    <row r="14" spans="1:17" x14ac:dyDescent="0.2">
      <c r="A14" s="40" t="str">
        <f>'[2]Table 13'!A15</f>
        <v>NC0021</v>
      </c>
      <c r="B14" s="41" t="str">
        <f>'[2]Table 13'!B15</f>
        <v>Cabarrus</v>
      </c>
      <c r="C14" s="428" t="str">
        <f>VLOOKUP($A14,[0]!Data,15,FALSE)</f>
        <v>Yes</v>
      </c>
      <c r="D14" s="358">
        <f>VLOOKUP($A14,[0]!Data,16,FALSE)</f>
        <v>3242</v>
      </c>
      <c r="E14" s="358">
        <f>VLOOKUP($A14,[0]!Data,18,FALSE)</f>
        <v>365</v>
      </c>
      <c r="F14" s="358">
        <f>VLOOKUP($A14,[0]!Data,20,FALSE)</f>
        <v>11883</v>
      </c>
      <c r="G14" s="358">
        <f>VLOOKUP($A14,[0]!Data,24,FALSE)</f>
        <v>0</v>
      </c>
      <c r="H14" s="358">
        <f>VLOOKUP($A14,[0]!Data,22,FALSE)</f>
        <v>121885</v>
      </c>
      <c r="I14" s="358">
        <f>VLOOKUP($A14,[0]!Data,17,FALSE)</f>
        <v>509</v>
      </c>
      <c r="J14" s="358">
        <f>VLOOKUP($A14,[0]!Data,19,FALSE)</f>
        <v>107</v>
      </c>
      <c r="K14" s="358">
        <f>VLOOKUP($A14,[0]!Data,21,FALSE)</f>
        <v>1833</v>
      </c>
      <c r="L14" s="358">
        <f>VLOOKUP($A14,[0]!Data,25,FALSE)</f>
        <v>0</v>
      </c>
      <c r="M14" s="358">
        <f>VLOOKUP($A14,[0]!Data,23,FALSE)</f>
        <v>11961</v>
      </c>
      <c r="N14" s="358">
        <f t="shared" si="0"/>
        <v>3751</v>
      </c>
      <c r="O14" s="358">
        <f t="shared" si="1"/>
        <v>472</v>
      </c>
      <c r="P14" s="358">
        <f t="shared" si="2"/>
        <v>13716</v>
      </c>
      <c r="Q14" s="360">
        <f t="shared" si="3"/>
        <v>133846</v>
      </c>
    </row>
    <row r="15" spans="1:17" x14ac:dyDescent="0.2">
      <c r="A15" s="40" t="str">
        <f>'[2]Table 13'!A16</f>
        <v>NC0022</v>
      </c>
      <c r="B15" s="41" t="str">
        <f>'[2]Table 13'!B16</f>
        <v>Caldwell</v>
      </c>
      <c r="C15" s="428" t="str">
        <f>VLOOKUP($A15,[0]!Data,15,FALSE)</f>
        <v>No</v>
      </c>
      <c r="D15" s="358">
        <f>VLOOKUP($A15,[0]!Data,16,FALSE)</f>
        <v>775</v>
      </c>
      <c r="E15" s="358">
        <f>VLOOKUP($A15,[0]!Data,18,FALSE)</f>
        <v>71</v>
      </c>
      <c r="F15" s="358">
        <f>VLOOKUP($A15,[0]!Data,20,FALSE)</f>
        <v>2389</v>
      </c>
      <c r="G15" s="358">
        <f>VLOOKUP($A15,[0]!Data,24,FALSE)</f>
        <v>265800</v>
      </c>
      <c r="H15" s="358">
        <f>VLOOKUP($A15,[0]!Data,22,FALSE)</f>
        <v>32582</v>
      </c>
      <c r="I15" s="358">
        <f>VLOOKUP($A15,[0]!Data,17,FALSE)</f>
        <v>251</v>
      </c>
      <c r="J15" s="358">
        <f>VLOOKUP($A15,[0]!Data,19,FALSE)</f>
        <v>7</v>
      </c>
      <c r="K15" s="358">
        <f>VLOOKUP($A15,[0]!Data,21,FALSE)</f>
        <v>78</v>
      </c>
      <c r="L15" s="358">
        <f>VLOOKUP($A15,[0]!Data,25,FALSE)</f>
        <v>115200</v>
      </c>
      <c r="M15" s="358">
        <f>VLOOKUP($A15,[0]!Data,23,FALSE)</f>
        <v>4383</v>
      </c>
      <c r="N15" s="358">
        <f t="shared" si="0"/>
        <v>1026</v>
      </c>
      <c r="O15" s="358">
        <f t="shared" si="1"/>
        <v>78</v>
      </c>
      <c r="P15" s="358">
        <f t="shared" si="2"/>
        <v>2467</v>
      </c>
      <c r="Q15" s="360">
        <f t="shared" si="3"/>
        <v>36965</v>
      </c>
    </row>
    <row r="16" spans="1:17" x14ac:dyDescent="0.2">
      <c r="A16" s="40" t="str">
        <f>'[2]Table 13'!A17</f>
        <v>NC0107</v>
      </c>
      <c r="B16" s="41" t="str">
        <f>'[2]Table 13'!B17</f>
        <v>Caswell</v>
      </c>
      <c r="C16" s="428" t="str">
        <f>VLOOKUP($A16,[0]!Data,15,FALSE)</f>
        <v>Yes</v>
      </c>
      <c r="D16" s="358">
        <f>VLOOKUP($A16,[0]!Data,16,FALSE)</f>
        <v>367</v>
      </c>
      <c r="E16" s="358">
        <f>VLOOKUP($A16,[0]!Data,18,FALSE)</f>
        <v>15</v>
      </c>
      <c r="F16" s="358">
        <f>VLOOKUP($A16,[0]!Data,20,FALSE)</f>
        <v>842</v>
      </c>
      <c r="G16" s="358">
        <f>VLOOKUP($A16,[0]!Data,24,FALSE)</f>
        <v>86988</v>
      </c>
      <c r="H16" s="358">
        <f>VLOOKUP($A16,[0]!Data,22,FALSE)</f>
        <v>4093</v>
      </c>
      <c r="I16" s="358">
        <f>VLOOKUP($A16,[0]!Data,17,FALSE)</f>
        <v>17</v>
      </c>
      <c r="J16" s="358">
        <f>VLOOKUP($A16,[0]!Data,19,FALSE)</f>
        <v>1</v>
      </c>
      <c r="K16" s="358">
        <f>VLOOKUP($A16,[0]!Data,21,FALSE)</f>
        <v>17</v>
      </c>
      <c r="L16" s="358">
        <f>VLOOKUP($A16,[0]!Data,25,FALSE)</f>
        <v>2945</v>
      </c>
      <c r="M16" s="358">
        <f>VLOOKUP($A16,[0]!Data,23,FALSE)</f>
        <v>677</v>
      </c>
      <c r="N16" s="358">
        <f t="shared" si="0"/>
        <v>384</v>
      </c>
      <c r="O16" s="358">
        <f t="shared" si="1"/>
        <v>16</v>
      </c>
      <c r="P16" s="358">
        <f t="shared" si="2"/>
        <v>859</v>
      </c>
      <c r="Q16" s="360">
        <f t="shared" si="3"/>
        <v>4770</v>
      </c>
    </row>
    <row r="17" spans="1:17" x14ac:dyDescent="0.2">
      <c r="A17" s="40" t="str">
        <f>'[2]Table 13'!A18</f>
        <v>NC0023</v>
      </c>
      <c r="B17" s="41" t="str">
        <f>'[2]Table 13'!B18</f>
        <v>Catawba</v>
      </c>
      <c r="C17" s="428" t="str">
        <f>VLOOKUP($A17,[0]!Data,15,FALSE)</f>
        <v>Yes</v>
      </c>
      <c r="D17" s="358">
        <f>VLOOKUP($A17,[0]!Data,16,FALSE)</f>
        <v>1453</v>
      </c>
      <c r="E17" s="358">
        <f>VLOOKUP($A17,[0]!Data,18,FALSE)</f>
        <v>322</v>
      </c>
      <c r="F17" s="358">
        <f>VLOOKUP($A17,[0]!Data,20,FALSE)</f>
        <v>8379</v>
      </c>
      <c r="G17" s="358">
        <f>VLOOKUP($A17,[0]!Data,24,FALSE)</f>
        <v>267052</v>
      </c>
      <c r="H17" s="358">
        <f>VLOOKUP($A17,[0]!Data,22,FALSE)</f>
        <v>38467</v>
      </c>
      <c r="I17" s="358">
        <f>VLOOKUP($A17,[0]!Data,17,FALSE)</f>
        <v>268</v>
      </c>
      <c r="J17" s="358">
        <f>VLOOKUP($A17,[0]!Data,19,FALSE)</f>
        <v>27</v>
      </c>
      <c r="K17" s="358">
        <f>VLOOKUP($A17,[0]!Data,21,FALSE)</f>
        <v>203</v>
      </c>
      <c r="L17" s="358">
        <f>VLOOKUP($A17,[0]!Data,25,FALSE)</f>
        <v>58053</v>
      </c>
      <c r="M17" s="358">
        <f>VLOOKUP($A17,[0]!Data,23,FALSE)</f>
        <v>5663</v>
      </c>
      <c r="N17" s="358">
        <f t="shared" si="0"/>
        <v>1721</v>
      </c>
      <c r="O17" s="358">
        <f t="shared" si="1"/>
        <v>349</v>
      </c>
      <c r="P17" s="358">
        <f t="shared" si="2"/>
        <v>8582</v>
      </c>
      <c r="Q17" s="360">
        <f t="shared" si="3"/>
        <v>44130</v>
      </c>
    </row>
    <row r="18" spans="1:17" x14ac:dyDescent="0.2">
      <c r="A18" s="40" t="str">
        <f>'[2]Table 13'!A19</f>
        <v>NC0104</v>
      </c>
      <c r="B18" s="41" t="str">
        <f>'[2]Table 13'!B19</f>
        <v>Chatham</v>
      </c>
      <c r="C18" s="428" t="str">
        <f>VLOOKUP($A18,[0]!Data,15,FALSE)</f>
        <v>Yes</v>
      </c>
      <c r="D18" s="358">
        <f>VLOOKUP($A18,[0]!Data,16,FALSE)</f>
        <v>677</v>
      </c>
      <c r="E18" s="358">
        <f>VLOOKUP($A18,[0]!Data,18,FALSE)</f>
        <v>144</v>
      </c>
      <c r="F18" s="358">
        <f>VLOOKUP($A18,[0]!Data,20,FALSE)</f>
        <v>4564</v>
      </c>
      <c r="G18" s="358">
        <f>VLOOKUP($A18,[0]!Data,24,FALSE)</f>
        <v>484710</v>
      </c>
      <c r="H18" s="358">
        <f>VLOOKUP($A18,[0]!Data,22,FALSE)</f>
        <v>27678</v>
      </c>
      <c r="I18" s="358">
        <f>VLOOKUP($A18,[0]!Data,17,FALSE)</f>
        <v>163</v>
      </c>
      <c r="J18" s="358">
        <f>VLOOKUP($A18,[0]!Data,19,FALSE)</f>
        <v>5</v>
      </c>
      <c r="K18" s="358">
        <f>VLOOKUP($A18,[0]!Data,21,FALSE)</f>
        <v>141</v>
      </c>
      <c r="L18" s="358">
        <f>VLOOKUP($A18,[0]!Data,25,FALSE)</f>
        <v>108540</v>
      </c>
      <c r="M18" s="358">
        <f>VLOOKUP($A18,[0]!Data,23,FALSE)</f>
        <v>2693</v>
      </c>
      <c r="N18" s="358">
        <f t="shared" si="0"/>
        <v>840</v>
      </c>
      <c r="O18" s="358">
        <f t="shared" si="1"/>
        <v>149</v>
      </c>
      <c r="P18" s="358">
        <f t="shared" si="2"/>
        <v>4705</v>
      </c>
      <c r="Q18" s="360">
        <f t="shared" si="3"/>
        <v>30371</v>
      </c>
    </row>
    <row r="19" spans="1:17" x14ac:dyDescent="0.2">
      <c r="A19" s="40" t="str">
        <f>'[2]Table 13'!A20</f>
        <v>NC0024</v>
      </c>
      <c r="B19" s="41" t="str">
        <f>'[2]Table 13'!B20</f>
        <v>Cleveland</v>
      </c>
      <c r="C19" s="428" t="str">
        <f>VLOOKUP($A19,[0]!Data,15,FALSE)</f>
        <v>Yes</v>
      </c>
      <c r="D19" s="358">
        <f>VLOOKUP($A19,[0]!Data,16,FALSE)</f>
        <v>698</v>
      </c>
      <c r="E19" s="358">
        <f>VLOOKUP($A19,[0]!Data,18,FALSE)</f>
        <v>26</v>
      </c>
      <c r="F19" s="358">
        <f>VLOOKUP($A19,[0]!Data,20,FALSE)</f>
        <v>1202</v>
      </c>
      <c r="G19" s="358">
        <f>VLOOKUP($A19,[0]!Data,24,FALSE)</f>
        <v>10126124</v>
      </c>
      <c r="H19" s="358">
        <f>VLOOKUP($A19,[0]!Data,22,FALSE)</f>
        <v>16791</v>
      </c>
      <c r="I19" s="358">
        <f>VLOOKUP($A19,[0]!Data,17,FALSE)</f>
        <v>15</v>
      </c>
      <c r="J19" s="358">
        <f>VLOOKUP($A19,[0]!Data,19,FALSE)</f>
        <v>7</v>
      </c>
      <c r="K19" s="358">
        <f>VLOOKUP($A19,[0]!Data,21,FALSE)</f>
        <v>42</v>
      </c>
      <c r="L19" s="358">
        <f>VLOOKUP($A19,[0]!Data,25,FALSE)</f>
        <v>19170</v>
      </c>
      <c r="M19" s="358">
        <f>VLOOKUP($A19,[0]!Data,23,FALSE)</f>
        <v>1777</v>
      </c>
      <c r="N19" s="358">
        <f t="shared" si="0"/>
        <v>713</v>
      </c>
      <c r="O19" s="358">
        <f t="shared" si="1"/>
        <v>33</v>
      </c>
      <c r="P19" s="358">
        <f t="shared" si="2"/>
        <v>1244</v>
      </c>
      <c r="Q19" s="360">
        <f t="shared" si="3"/>
        <v>18568</v>
      </c>
    </row>
    <row r="20" spans="1:17" x14ac:dyDescent="0.2">
      <c r="A20" s="40" t="str">
        <f>'[2]Table 13'!A21</f>
        <v>NC0025</v>
      </c>
      <c r="B20" s="41" t="str">
        <f>'[2]Table 13'!B21</f>
        <v>Columbus</v>
      </c>
      <c r="C20" s="428" t="str">
        <f>VLOOKUP($A20,[0]!Data,15,FALSE)</f>
        <v>Yes</v>
      </c>
      <c r="D20" s="358">
        <f>VLOOKUP($A20,[0]!Data,16,FALSE)</f>
        <v>0</v>
      </c>
      <c r="E20" s="358">
        <f>VLOOKUP($A20,[0]!Data,18,FALSE)</f>
        <v>32</v>
      </c>
      <c r="F20" s="358">
        <f>VLOOKUP($A20,[0]!Data,20,FALSE)</f>
        <v>279</v>
      </c>
      <c r="G20" s="358">
        <f>VLOOKUP($A20,[0]!Data,24,FALSE)</f>
        <v>0</v>
      </c>
      <c r="H20" s="358">
        <f>VLOOKUP($A20,[0]!Data,22,FALSE)</f>
        <v>7086</v>
      </c>
      <c r="I20" s="358">
        <f>VLOOKUP($A20,[0]!Data,17,FALSE)</f>
        <v>0</v>
      </c>
      <c r="J20" s="358">
        <f>VLOOKUP($A20,[0]!Data,19,FALSE)</f>
        <v>15</v>
      </c>
      <c r="K20" s="358">
        <f>VLOOKUP($A20,[0]!Data,21,FALSE)</f>
        <v>96</v>
      </c>
      <c r="L20" s="358">
        <f>VLOOKUP($A20,[0]!Data,25,FALSE)</f>
        <v>0</v>
      </c>
      <c r="M20" s="358">
        <f>VLOOKUP($A20,[0]!Data,23,FALSE)</f>
        <v>0</v>
      </c>
      <c r="N20" s="358">
        <f t="shared" si="0"/>
        <v>0</v>
      </c>
      <c r="O20" s="358">
        <f t="shared" si="1"/>
        <v>47</v>
      </c>
      <c r="P20" s="358">
        <f t="shared" si="2"/>
        <v>375</v>
      </c>
      <c r="Q20" s="360">
        <f t="shared" si="3"/>
        <v>7086</v>
      </c>
    </row>
    <row r="21" spans="1:17" x14ac:dyDescent="0.2">
      <c r="A21" s="40" t="str">
        <f>'[2]Table 13'!A22</f>
        <v>NC0026</v>
      </c>
      <c r="B21" s="41" t="str">
        <f>'[2]Table 13'!B22</f>
        <v>Cumberland</v>
      </c>
      <c r="C21" s="428" t="str">
        <f>VLOOKUP($A21,[0]!Data,15,FALSE)</f>
        <v>Yes</v>
      </c>
      <c r="D21" s="358">
        <f>VLOOKUP($A21,[0]!Data,16,FALSE)</f>
        <v>2132</v>
      </c>
      <c r="E21" s="358">
        <f>VLOOKUP($A21,[0]!Data,18,FALSE)</f>
        <v>467</v>
      </c>
      <c r="F21" s="358">
        <f>VLOOKUP($A21,[0]!Data,20,FALSE)</f>
        <v>13809</v>
      </c>
      <c r="G21" s="358">
        <f>VLOOKUP($A21,[0]!Data,24,FALSE)</f>
        <v>1720588</v>
      </c>
      <c r="H21" s="358">
        <f>VLOOKUP($A21,[0]!Data,22,FALSE)</f>
        <v>165647</v>
      </c>
      <c r="I21" s="358">
        <f>VLOOKUP($A21,[0]!Data,17,FALSE)</f>
        <v>484</v>
      </c>
      <c r="J21" s="358">
        <f>VLOOKUP($A21,[0]!Data,19,FALSE)</f>
        <v>81</v>
      </c>
      <c r="K21" s="358">
        <f>VLOOKUP($A21,[0]!Data,21,FALSE)</f>
        <v>951</v>
      </c>
      <c r="L21" s="358">
        <f>VLOOKUP($A21,[0]!Data,25,FALSE)</f>
        <v>377852</v>
      </c>
      <c r="M21" s="358">
        <f>VLOOKUP($A21,[0]!Data,23,FALSE)</f>
        <v>21844</v>
      </c>
      <c r="N21" s="358">
        <f t="shared" si="0"/>
        <v>2616</v>
      </c>
      <c r="O21" s="358">
        <f t="shared" si="1"/>
        <v>548</v>
      </c>
      <c r="P21" s="358">
        <f t="shared" si="2"/>
        <v>14760</v>
      </c>
      <c r="Q21" s="360">
        <f t="shared" si="3"/>
        <v>187491</v>
      </c>
    </row>
    <row r="22" spans="1:17" x14ac:dyDescent="0.2">
      <c r="A22" s="40" t="str">
        <f>'[2]Table 13'!A23</f>
        <v>NC0027</v>
      </c>
      <c r="B22" s="41" t="str">
        <f>'[2]Table 13'!B23</f>
        <v>Davidson</v>
      </c>
      <c r="C22" s="428" t="str">
        <f>VLOOKUP($A22,[0]!Data,15,FALSE)</f>
        <v>Yes</v>
      </c>
      <c r="D22" s="358">
        <f>VLOOKUP($A22,[0]!Data,16,FALSE)</f>
        <v>1385</v>
      </c>
      <c r="E22" s="358">
        <f>VLOOKUP($A22,[0]!Data,18,FALSE)</f>
        <v>178</v>
      </c>
      <c r="F22" s="358">
        <f>VLOOKUP($A22,[0]!Data,20,FALSE)</f>
        <v>5561</v>
      </c>
      <c r="G22" s="358">
        <f>VLOOKUP($A22,[0]!Data,24,FALSE)</f>
        <v>343340</v>
      </c>
      <c r="H22" s="358">
        <f>VLOOKUP($A22,[0]!Data,22,FALSE)</f>
        <v>38030</v>
      </c>
      <c r="I22" s="358">
        <f>VLOOKUP($A22,[0]!Data,17,FALSE)</f>
        <v>186</v>
      </c>
      <c r="J22" s="358">
        <f>VLOOKUP($A22,[0]!Data,19,FALSE)</f>
        <v>27</v>
      </c>
      <c r="K22" s="358">
        <f>VLOOKUP($A22,[0]!Data,21,FALSE)</f>
        <v>414</v>
      </c>
      <c r="L22" s="358">
        <f>VLOOKUP($A22,[0]!Data,25,FALSE)</f>
        <v>39455</v>
      </c>
      <c r="M22" s="358">
        <f>VLOOKUP($A22,[0]!Data,23,FALSE)</f>
        <v>6562</v>
      </c>
      <c r="N22" s="358">
        <f t="shared" si="0"/>
        <v>1571</v>
      </c>
      <c r="O22" s="358">
        <f t="shared" si="1"/>
        <v>205</v>
      </c>
      <c r="P22" s="358">
        <f t="shared" si="2"/>
        <v>5975</v>
      </c>
      <c r="Q22" s="360">
        <f t="shared" si="3"/>
        <v>44592</v>
      </c>
    </row>
    <row r="23" spans="1:17" x14ac:dyDescent="0.2">
      <c r="A23" s="40" t="str">
        <f>'[2]Table 13'!A24</f>
        <v>NC0028</v>
      </c>
      <c r="B23" s="41" t="str">
        <f>'[2]Table 13'!B24</f>
        <v>Davie</v>
      </c>
      <c r="C23" s="428" t="str">
        <f>VLOOKUP($A23,[0]!Data,15,FALSE)</f>
        <v>Yes</v>
      </c>
      <c r="D23" s="358">
        <f>VLOOKUP($A23,[0]!Data,16,FALSE)</f>
        <v>163</v>
      </c>
      <c r="E23" s="358">
        <f>VLOOKUP($A23,[0]!Data,18,FALSE)</f>
        <v>50</v>
      </c>
      <c r="F23" s="358">
        <f>VLOOKUP($A23,[0]!Data,20,FALSE)</f>
        <v>1051</v>
      </c>
      <c r="G23" s="358">
        <f>VLOOKUP($A23,[0]!Data,24,FALSE)</f>
        <v>148330</v>
      </c>
      <c r="H23" s="358">
        <f>VLOOKUP($A23,[0]!Data,22,FALSE)</f>
        <v>11214</v>
      </c>
      <c r="I23" s="358">
        <f>VLOOKUP($A23,[0]!Data,17,FALSE)</f>
        <v>46</v>
      </c>
      <c r="J23" s="358">
        <f>VLOOKUP($A23,[0]!Data,19,FALSE)</f>
        <v>136</v>
      </c>
      <c r="K23" s="358">
        <f>VLOOKUP($A23,[0]!Data,21,FALSE)</f>
        <v>325</v>
      </c>
      <c r="L23" s="358">
        <f>VLOOKUP($A23,[0]!Data,25,FALSE)</f>
        <v>120704</v>
      </c>
      <c r="M23" s="358">
        <f>VLOOKUP($A23,[0]!Data,23,FALSE)</f>
        <v>1261</v>
      </c>
      <c r="N23" s="358">
        <f t="shared" si="0"/>
        <v>209</v>
      </c>
      <c r="O23" s="358">
        <f t="shared" si="1"/>
        <v>186</v>
      </c>
      <c r="P23" s="358">
        <f t="shared" si="2"/>
        <v>1376</v>
      </c>
      <c r="Q23" s="360">
        <f t="shared" si="3"/>
        <v>12475</v>
      </c>
    </row>
    <row r="24" spans="1:17" x14ac:dyDescent="0.2">
      <c r="A24" s="40" t="str">
        <f>'[2]Table 13'!A25</f>
        <v>NC0029</v>
      </c>
      <c r="B24" s="41" t="str">
        <f>'[2]Table 13'!B25</f>
        <v>Duplin</v>
      </c>
      <c r="C24" s="428" t="str">
        <f>VLOOKUP($A24,[0]!Data,15,FALSE)</f>
        <v>Yes</v>
      </c>
      <c r="D24" s="358">
        <f>VLOOKUP($A24,[0]!Data,16,FALSE)</f>
        <v>115</v>
      </c>
      <c r="E24" s="358">
        <f>VLOOKUP($A24,[0]!Data,18,FALSE)</f>
        <v>16</v>
      </c>
      <c r="F24" s="358">
        <f>VLOOKUP($A24,[0]!Data,20,FALSE)</f>
        <v>565</v>
      </c>
      <c r="G24" s="358">
        <f>VLOOKUP($A24,[0]!Data,24,FALSE)</f>
        <v>2500</v>
      </c>
      <c r="H24" s="358">
        <f>VLOOKUP($A24,[0]!Data,22,FALSE)</f>
        <v>10449</v>
      </c>
      <c r="I24" s="358">
        <f>VLOOKUP($A24,[0]!Data,17,FALSE)</f>
        <v>0</v>
      </c>
      <c r="J24" s="358">
        <f>VLOOKUP($A24,[0]!Data,19,FALSE)</f>
        <v>0</v>
      </c>
      <c r="K24" s="358">
        <f>VLOOKUP($A24,[0]!Data,21,FALSE)</f>
        <v>0</v>
      </c>
      <c r="L24" s="358">
        <f>VLOOKUP($A24,[0]!Data,25,FALSE)</f>
        <v>0</v>
      </c>
      <c r="M24" s="358">
        <f>VLOOKUP($A24,[0]!Data,23,FALSE)</f>
        <v>0</v>
      </c>
      <c r="N24" s="358">
        <f t="shared" si="0"/>
        <v>115</v>
      </c>
      <c r="O24" s="358">
        <f t="shared" si="1"/>
        <v>16</v>
      </c>
      <c r="P24" s="358">
        <f t="shared" si="2"/>
        <v>565</v>
      </c>
      <c r="Q24" s="360">
        <f t="shared" si="3"/>
        <v>10449</v>
      </c>
    </row>
    <row r="25" spans="1:17" x14ac:dyDescent="0.2">
      <c r="A25" s="40" t="str">
        <f>'[2]Table 13'!A26</f>
        <v>NC0030</v>
      </c>
      <c r="B25" s="41" t="str">
        <f>'[2]Table 13'!B26</f>
        <v>Durham</v>
      </c>
      <c r="C25" s="428" t="str">
        <f>VLOOKUP($A25,[0]!Data,15,FALSE)</f>
        <v>Yes</v>
      </c>
      <c r="D25" s="358">
        <f>VLOOKUP($A25,[0]!Data,16,FALSE)</f>
        <v>2616</v>
      </c>
      <c r="E25" s="358">
        <f>VLOOKUP($A25,[0]!Data,18,FALSE)</f>
        <v>559</v>
      </c>
      <c r="F25" s="358">
        <f>VLOOKUP($A25,[0]!Data,20,FALSE)</f>
        <v>21626</v>
      </c>
      <c r="G25" s="358">
        <f>VLOOKUP($A25,[0]!Data,24,FALSE)</f>
        <v>1066945</v>
      </c>
      <c r="H25" s="358">
        <f>VLOOKUP($A25,[0]!Data,22,FALSE)</f>
        <v>264371</v>
      </c>
      <c r="I25" s="358">
        <f>VLOOKUP($A25,[0]!Data,17,FALSE)</f>
        <v>496</v>
      </c>
      <c r="J25" s="358">
        <f>VLOOKUP($A25,[0]!Data,19,FALSE)</f>
        <v>144</v>
      </c>
      <c r="K25" s="358">
        <f>VLOOKUP($A25,[0]!Data,21,FALSE)</f>
        <v>1590</v>
      </c>
      <c r="L25" s="358">
        <f>VLOOKUP($A25,[0]!Data,25,FALSE)</f>
        <v>300987</v>
      </c>
      <c r="M25" s="358">
        <f>VLOOKUP($A25,[0]!Data,23,FALSE)</f>
        <v>23327</v>
      </c>
      <c r="N25" s="358">
        <f t="shared" si="0"/>
        <v>3112</v>
      </c>
      <c r="O25" s="358">
        <f t="shared" si="1"/>
        <v>703</v>
      </c>
      <c r="P25" s="358">
        <f t="shared" si="2"/>
        <v>23216</v>
      </c>
      <c r="Q25" s="360">
        <f t="shared" si="3"/>
        <v>287698</v>
      </c>
    </row>
    <row r="26" spans="1:17" x14ac:dyDescent="0.2">
      <c r="A26" s="40" t="str">
        <f>'[2]Table 13'!A27</f>
        <v>NC0031</v>
      </c>
      <c r="B26" s="41" t="str">
        <f>'[2]Table 13'!B27</f>
        <v>Edgecombe</v>
      </c>
      <c r="C26" s="428" t="str">
        <f>VLOOKUP($A26,[0]!Data,15,FALSE)</f>
        <v>Yes</v>
      </c>
      <c r="D26" s="358">
        <f>VLOOKUP($A26,[0]!Data,16,FALSE)</f>
        <v>714</v>
      </c>
      <c r="E26" s="358">
        <f>VLOOKUP($A26,[0]!Data,18,FALSE)</f>
        <v>81</v>
      </c>
      <c r="F26" s="358">
        <f>VLOOKUP($A26,[0]!Data,20,FALSE)</f>
        <v>3460</v>
      </c>
      <c r="G26" s="358">
        <f>VLOOKUP($A26,[0]!Data,24,FALSE)</f>
        <v>4680</v>
      </c>
      <c r="H26" s="358">
        <f>VLOOKUP($A26,[0]!Data,22,FALSE)</f>
        <v>4514</v>
      </c>
      <c r="I26" s="358">
        <f>VLOOKUP($A26,[0]!Data,17,FALSE)</f>
        <v>222</v>
      </c>
      <c r="J26" s="358">
        <f>VLOOKUP($A26,[0]!Data,19,FALSE)</f>
        <v>81</v>
      </c>
      <c r="K26" s="358">
        <f>VLOOKUP($A26,[0]!Data,21,FALSE)</f>
        <v>3460</v>
      </c>
      <c r="L26" s="358">
        <f>VLOOKUP($A26,[0]!Data,25,FALSE)</f>
        <v>0</v>
      </c>
      <c r="M26" s="358">
        <f>VLOOKUP($A26,[0]!Data,23,FALSE)</f>
        <v>0</v>
      </c>
      <c r="N26" s="358">
        <f t="shared" si="0"/>
        <v>936</v>
      </c>
      <c r="O26" s="358">
        <f t="shared" si="1"/>
        <v>162</v>
      </c>
      <c r="P26" s="358">
        <f t="shared" si="2"/>
        <v>6920</v>
      </c>
      <c r="Q26" s="360">
        <f t="shared" si="3"/>
        <v>4514</v>
      </c>
    </row>
    <row r="27" spans="1:17" x14ac:dyDescent="0.2">
      <c r="A27" s="40" t="str">
        <f>'[2]Table 13'!A28</f>
        <v>NC0032</v>
      </c>
      <c r="B27" s="41" t="str">
        <f>'[2]Table 13'!B28</f>
        <v>Forsyth</v>
      </c>
      <c r="C27" s="428" t="str">
        <f>VLOOKUP($A27,[0]!Data,15,FALSE)</f>
        <v>Yes</v>
      </c>
      <c r="D27" s="358">
        <f>VLOOKUP($A27,[0]!Data,16,FALSE)</f>
        <v>884</v>
      </c>
      <c r="E27" s="358">
        <f>VLOOKUP($A27,[0]!Data,18,FALSE)</f>
        <v>320</v>
      </c>
      <c r="F27" s="358">
        <f>VLOOKUP($A27,[0]!Data,20,FALSE)</f>
        <v>16485</v>
      </c>
      <c r="G27" s="358">
        <f>VLOOKUP($A27,[0]!Data,24,FALSE)</f>
        <v>4104</v>
      </c>
      <c r="H27" s="358">
        <f>VLOOKUP($A27,[0]!Data,22,FALSE)</f>
        <v>66567</v>
      </c>
      <c r="I27" s="358">
        <f>VLOOKUP($A27,[0]!Data,17,FALSE)</f>
        <v>475</v>
      </c>
      <c r="J27" s="358">
        <f>VLOOKUP($A27,[0]!Data,19,FALSE)</f>
        <v>42</v>
      </c>
      <c r="K27" s="358">
        <f>VLOOKUP($A27,[0]!Data,21,FALSE)</f>
        <v>350</v>
      </c>
      <c r="L27" s="358">
        <f>VLOOKUP($A27,[0]!Data,25,FALSE)</f>
        <v>12000</v>
      </c>
      <c r="M27" s="358">
        <f>VLOOKUP($A27,[0]!Data,23,FALSE)</f>
        <v>6083</v>
      </c>
      <c r="N27" s="358">
        <f t="shared" si="0"/>
        <v>1359</v>
      </c>
      <c r="O27" s="358">
        <f t="shared" si="1"/>
        <v>362</v>
      </c>
      <c r="P27" s="358">
        <f t="shared" si="2"/>
        <v>16835</v>
      </c>
      <c r="Q27" s="360">
        <f t="shared" si="3"/>
        <v>72650</v>
      </c>
    </row>
    <row r="28" spans="1:17" x14ac:dyDescent="0.2">
      <c r="A28" s="40" t="str">
        <f>'[2]Table 13'!A29</f>
        <v>NC0033</v>
      </c>
      <c r="B28" s="41" t="str">
        <f>'[2]Table 13'!B29</f>
        <v>Franklin</v>
      </c>
      <c r="C28" s="428" t="str">
        <f>VLOOKUP($A28,[0]!Data,15,FALSE)</f>
        <v>Yes</v>
      </c>
      <c r="D28" s="358">
        <f>VLOOKUP($A28,[0]!Data,16,FALSE)</f>
        <v>0</v>
      </c>
      <c r="E28" s="358">
        <f>VLOOKUP($A28,[0]!Data,18,FALSE)</f>
        <v>70</v>
      </c>
      <c r="F28" s="358">
        <f>VLOOKUP($A28,[0]!Data,20,FALSE)</f>
        <v>514</v>
      </c>
      <c r="G28" s="358">
        <f>VLOOKUP($A28,[0]!Data,24,FALSE)</f>
        <v>0</v>
      </c>
      <c r="H28" s="358">
        <f>VLOOKUP($A28,[0]!Data,22,FALSE)</f>
        <v>16222</v>
      </c>
      <c r="I28" s="358">
        <f>VLOOKUP($A28,[0]!Data,17,FALSE)</f>
        <v>0</v>
      </c>
      <c r="J28" s="358">
        <f>VLOOKUP($A28,[0]!Data,19,FALSE)</f>
        <v>9</v>
      </c>
      <c r="K28" s="358">
        <f>VLOOKUP($A28,[0]!Data,21,FALSE)</f>
        <v>177</v>
      </c>
      <c r="L28" s="358">
        <f>VLOOKUP($A28,[0]!Data,25,FALSE)</f>
        <v>0</v>
      </c>
      <c r="M28" s="358">
        <f>VLOOKUP($A28,[0]!Data,23,FALSE)</f>
        <v>2494</v>
      </c>
      <c r="N28" s="358">
        <f t="shared" si="0"/>
        <v>0</v>
      </c>
      <c r="O28" s="358">
        <f t="shared" si="1"/>
        <v>79</v>
      </c>
      <c r="P28" s="358">
        <f t="shared" si="2"/>
        <v>691</v>
      </c>
      <c r="Q28" s="360">
        <f t="shared" si="3"/>
        <v>18716</v>
      </c>
    </row>
    <row r="29" spans="1:17" x14ac:dyDescent="0.2">
      <c r="A29" s="40" t="str">
        <f>'[2]Table 13'!A30</f>
        <v>NC0105</v>
      </c>
      <c r="B29" s="41" t="str">
        <f>'[2]Table 13'!B30</f>
        <v>Gaston</v>
      </c>
      <c r="C29" s="428" t="str">
        <f>VLOOKUP($A29,[0]!Data,15,FALSE)</f>
        <v>Yes</v>
      </c>
      <c r="D29" s="358">
        <f>VLOOKUP($A29,[0]!Data,16,FALSE)</f>
        <v>4540</v>
      </c>
      <c r="E29" s="358">
        <f>VLOOKUP($A29,[0]!Data,18,FALSE)</f>
        <v>795</v>
      </c>
      <c r="F29" s="358">
        <f>VLOOKUP($A29,[0]!Data,20,FALSE)</f>
        <v>33784</v>
      </c>
      <c r="G29" s="358">
        <f>VLOOKUP($A29,[0]!Data,24,FALSE)</f>
        <v>1724000</v>
      </c>
      <c r="H29" s="358">
        <f>VLOOKUP($A29,[0]!Data,22,FALSE)</f>
        <v>115388</v>
      </c>
      <c r="I29" s="358">
        <f>VLOOKUP($A29,[0]!Data,17,FALSE)</f>
        <v>1208</v>
      </c>
      <c r="J29" s="358">
        <f>VLOOKUP($A29,[0]!Data,19,FALSE)</f>
        <v>312</v>
      </c>
      <c r="K29" s="358">
        <f>VLOOKUP($A29,[0]!Data,21,FALSE)</f>
        <v>1812</v>
      </c>
      <c r="L29" s="358">
        <f>VLOOKUP($A29,[0]!Data,25,FALSE)</f>
        <v>314400</v>
      </c>
      <c r="M29" s="358">
        <f>VLOOKUP($A29,[0]!Data,23,FALSE)</f>
        <v>13013</v>
      </c>
      <c r="N29" s="358">
        <f t="shared" si="0"/>
        <v>5748</v>
      </c>
      <c r="O29" s="358">
        <f t="shared" si="1"/>
        <v>1107</v>
      </c>
      <c r="P29" s="358">
        <f t="shared" si="2"/>
        <v>35596</v>
      </c>
      <c r="Q29" s="360">
        <f t="shared" si="3"/>
        <v>128401</v>
      </c>
    </row>
    <row r="30" spans="1:17" x14ac:dyDescent="0.2">
      <c r="A30" s="40" t="str">
        <f>'[2]Table 13'!A31</f>
        <v>NC0034</v>
      </c>
      <c r="B30" s="41" t="str">
        <f>'[2]Table 13'!B31</f>
        <v>Granville</v>
      </c>
      <c r="C30" s="428" t="str">
        <f>VLOOKUP($A30,[0]!Data,15,FALSE)</f>
        <v>Yes</v>
      </c>
      <c r="D30" s="358">
        <f>VLOOKUP($A30,[0]!Data,16,FALSE)</f>
        <v>335</v>
      </c>
      <c r="E30" s="358">
        <f>VLOOKUP($A30,[0]!Data,18,FALSE)</f>
        <v>30</v>
      </c>
      <c r="F30" s="358">
        <f>VLOOKUP($A30,[0]!Data,20,FALSE)</f>
        <v>1681</v>
      </c>
      <c r="G30" s="358">
        <f>VLOOKUP($A30,[0]!Data,24,FALSE)</f>
        <v>52053</v>
      </c>
      <c r="H30" s="358">
        <f>VLOOKUP($A30,[0]!Data,22,FALSE)</f>
        <v>12248</v>
      </c>
      <c r="I30" s="358">
        <f>VLOOKUP($A30,[0]!Data,17,FALSE)</f>
        <v>90</v>
      </c>
      <c r="J30" s="358">
        <f>VLOOKUP($A30,[0]!Data,19,FALSE)</f>
        <v>15</v>
      </c>
      <c r="K30" s="358">
        <f>VLOOKUP($A30,[0]!Data,21,FALSE)</f>
        <v>-1</v>
      </c>
      <c r="L30" s="358">
        <f>VLOOKUP($A30,[0]!Data,25,FALSE)</f>
        <v>0</v>
      </c>
      <c r="M30" s="358">
        <f>VLOOKUP($A30,[0]!Data,23,FALSE)</f>
        <v>1785</v>
      </c>
      <c r="N30" s="358">
        <f t="shared" si="0"/>
        <v>425</v>
      </c>
      <c r="O30" s="358">
        <f t="shared" si="1"/>
        <v>45</v>
      </c>
      <c r="P30" s="358">
        <f t="shared" si="2"/>
        <v>1680</v>
      </c>
      <c r="Q30" s="360">
        <f t="shared" si="3"/>
        <v>14033</v>
      </c>
    </row>
    <row r="31" spans="1:17" x14ac:dyDescent="0.2">
      <c r="A31" s="40" t="str">
        <f>'[2]Table 13'!A32</f>
        <v>NC0035</v>
      </c>
      <c r="B31" s="41" t="str">
        <f>'[2]Table 13'!B32</f>
        <v>Guilford (Greensboro)</v>
      </c>
      <c r="C31" s="428" t="str">
        <f>VLOOKUP($A31,[0]!Data,15,FALSE)</f>
        <v>Yes</v>
      </c>
      <c r="D31" s="358">
        <f>VLOOKUP($A31,[0]!Data,16,FALSE)</f>
        <v>4509</v>
      </c>
      <c r="E31" s="358">
        <f>VLOOKUP($A31,[0]!Data,18,FALSE)</f>
        <v>512</v>
      </c>
      <c r="F31" s="358">
        <f>VLOOKUP($A31,[0]!Data,20,FALSE)</f>
        <v>19602</v>
      </c>
      <c r="G31" s="358">
        <f>VLOOKUP($A31,[0]!Data,24,FALSE)</f>
        <v>0</v>
      </c>
      <c r="H31" s="358">
        <f>VLOOKUP($A31,[0]!Data,22,FALSE)</f>
        <v>180395</v>
      </c>
      <c r="I31" s="358">
        <f>VLOOKUP($A31,[0]!Data,17,FALSE)</f>
        <v>1016</v>
      </c>
      <c r="J31" s="358">
        <f>VLOOKUP($A31,[0]!Data,19,FALSE)</f>
        <v>120</v>
      </c>
      <c r="K31" s="358">
        <f>VLOOKUP($A31,[0]!Data,21,FALSE)</f>
        <v>1345</v>
      </c>
      <c r="L31" s="358">
        <f>VLOOKUP($A31,[0]!Data,25,FALSE)</f>
        <v>0</v>
      </c>
      <c r="M31" s="358">
        <f>VLOOKUP($A31,[0]!Data,23,FALSE)</f>
        <v>21000</v>
      </c>
      <c r="N31" s="358">
        <f t="shared" si="0"/>
        <v>5525</v>
      </c>
      <c r="O31" s="358">
        <f t="shared" si="1"/>
        <v>632</v>
      </c>
      <c r="P31" s="358">
        <f t="shared" si="2"/>
        <v>20947</v>
      </c>
      <c r="Q31" s="360">
        <f t="shared" si="3"/>
        <v>201395</v>
      </c>
    </row>
    <row r="32" spans="1:17" x14ac:dyDescent="0.2">
      <c r="A32" s="40" t="str">
        <f>'[2]Table 13'!A33</f>
        <v>NC0036</v>
      </c>
      <c r="B32" s="41" t="str">
        <f>'[2]Table 13'!B33</f>
        <v>Halifax</v>
      </c>
      <c r="C32" s="428" t="str">
        <f>VLOOKUP($A32,[0]!Data,15,FALSE)</f>
        <v>Yes</v>
      </c>
      <c r="D32" s="358">
        <f>VLOOKUP($A32,[0]!Data,16,FALSE)</f>
        <v>434</v>
      </c>
      <c r="E32" s="358">
        <f>VLOOKUP($A32,[0]!Data,18,FALSE)</f>
        <v>26</v>
      </c>
      <c r="F32" s="358">
        <f>VLOOKUP($A32,[0]!Data,20,FALSE)</f>
        <v>462</v>
      </c>
      <c r="G32" s="358">
        <f>VLOOKUP($A32,[0]!Data,24,FALSE)</f>
        <v>38364</v>
      </c>
      <c r="H32" s="358">
        <f>VLOOKUP($A32,[0]!Data,22,FALSE)</f>
        <v>3695</v>
      </c>
      <c r="I32" s="358">
        <f>VLOOKUP($A32,[0]!Data,17,FALSE)</f>
        <v>48</v>
      </c>
      <c r="J32" s="358">
        <f>VLOOKUP($A32,[0]!Data,19,FALSE)</f>
        <v>6</v>
      </c>
      <c r="K32" s="358">
        <f>VLOOKUP($A32,[0]!Data,21,FALSE)</f>
        <v>110</v>
      </c>
      <c r="L32" s="358">
        <f>VLOOKUP($A32,[0]!Data,25,FALSE)</f>
        <v>14925</v>
      </c>
      <c r="M32" s="358">
        <f>VLOOKUP($A32,[0]!Data,23,FALSE)</f>
        <v>56</v>
      </c>
      <c r="N32" s="358">
        <f t="shared" si="0"/>
        <v>482</v>
      </c>
      <c r="O32" s="358">
        <f t="shared" si="1"/>
        <v>32</v>
      </c>
      <c r="P32" s="358">
        <f t="shared" si="2"/>
        <v>572</v>
      </c>
      <c r="Q32" s="360">
        <f t="shared" si="3"/>
        <v>3751</v>
      </c>
    </row>
    <row r="33" spans="1:17" x14ac:dyDescent="0.2">
      <c r="A33" s="40" t="str">
        <f>'[2]Table 13'!A34</f>
        <v>NC0037</v>
      </c>
      <c r="B33" s="41" t="str">
        <f>'[2]Table 13'!B34</f>
        <v>Harnett</v>
      </c>
      <c r="C33" s="428" t="str">
        <f>VLOOKUP($A33,[0]!Data,15,FALSE)</f>
        <v>Yes</v>
      </c>
      <c r="D33" s="358">
        <f>VLOOKUP($A33,[0]!Data,16,FALSE)</f>
        <v>0</v>
      </c>
      <c r="E33" s="358">
        <f>VLOOKUP($A33,[0]!Data,18,FALSE)</f>
        <v>103</v>
      </c>
      <c r="F33" s="358">
        <f>VLOOKUP($A33,[0]!Data,20,FALSE)</f>
        <v>4174</v>
      </c>
      <c r="G33" s="358">
        <f>VLOOKUP($A33,[0]!Data,24,FALSE)</f>
        <v>0</v>
      </c>
      <c r="H33" s="358">
        <f>VLOOKUP($A33,[0]!Data,22,FALSE)</f>
        <v>33591</v>
      </c>
      <c r="I33" s="358">
        <f>VLOOKUP($A33,[0]!Data,17,FALSE)</f>
        <v>0</v>
      </c>
      <c r="J33" s="358">
        <f>VLOOKUP($A33,[0]!Data,19,FALSE)</f>
        <v>10</v>
      </c>
      <c r="K33" s="358">
        <f>VLOOKUP($A33,[0]!Data,21,FALSE)</f>
        <v>153</v>
      </c>
      <c r="L33" s="358">
        <f>VLOOKUP($A33,[0]!Data,25,FALSE)</f>
        <v>0</v>
      </c>
      <c r="M33" s="358">
        <f>VLOOKUP($A33,[0]!Data,23,FALSE)</f>
        <v>2531</v>
      </c>
      <c r="N33" s="358">
        <f t="shared" si="0"/>
        <v>0</v>
      </c>
      <c r="O33" s="358">
        <f t="shared" si="1"/>
        <v>113</v>
      </c>
      <c r="P33" s="358">
        <f t="shared" si="2"/>
        <v>4327</v>
      </c>
      <c r="Q33" s="360">
        <f t="shared" si="3"/>
        <v>36122</v>
      </c>
    </row>
    <row r="34" spans="1:17" x14ac:dyDescent="0.2">
      <c r="A34" s="40" t="str">
        <f>'[2]Table 13'!A35</f>
        <v>NC0038</v>
      </c>
      <c r="B34" s="41" t="str">
        <f>'[2]Table 13'!B35</f>
        <v>Haywood</v>
      </c>
      <c r="C34" s="428" t="str">
        <f>VLOOKUP($A34,[0]!Data,15,FALSE)</f>
        <v>Yes</v>
      </c>
      <c r="D34" s="358">
        <f>VLOOKUP($A34,[0]!Data,16,FALSE)</f>
        <v>455</v>
      </c>
      <c r="E34" s="358">
        <f>VLOOKUP($A34,[0]!Data,18,FALSE)</f>
        <v>119</v>
      </c>
      <c r="F34" s="358">
        <f>VLOOKUP($A34,[0]!Data,20,FALSE)</f>
        <v>3829</v>
      </c>
      <c r="G34" s="358">
        <f>VLOOKUP($A34,[0]!Data,24,FALSE)</f>
        <v>0</v>
      </c>
      <c r="H34" s="358">
        <f>VLOOKUP($A34,[0]!Data,22,FALSE)</f>
        <v>23506</v>
      </c>
      <c r="I34" s="358">
        <f>VLOOKUP($A34,[0]!Data,17,FALSE)</f>
        <v>92</v>
      </c>
      <c r="J34" s="358">
        <f>VLOOKUP($A34,[0]!Data,19,FALSE)</f>
        <v>39</v>
      </c>
      <c r="K34" s="358">
        <f>VLOOKUP($A34,[0]!Data,21,FALSE)</f>
        <v>1513</v>
      </c>
      <c r="L34" s="358">
        <f>VLOOKUP($A34,[0]!Data,25,FALSE)</f>
        <v>0</v>
      </c>
      <c r="M34" s="358">
        <f>VLOOKUP($A34,[0]!Data,23,FALSE)</f>
        <v>2130</v>
      </c>
      <c r="N34" s="358">
        <f t="shared" si="0"/>
        <v>547</v>
      </c>
      <c r="O34" s="358">
        <f t="shared" si="1"/>
        <v>158</v>
      </c>
      <c r="P34" s="358">
        <f t="shared" si="2"/>
        <v>5342</v>
      </c>
      <c r="Q34" s="360">
        <f t="shared" si="3"/>
        <v>25636</v>
      </c>
    </row>
    <row r="35" spans="1:17" x14ac:dyDescent="0.2">
      <c r="A35" s="40" t="str">
        <f>'[2]Table 13'!A36</f>
        <v>NC0039</v>
      </c>
      <c r="B35" s="41" t="str">
        <f>'[2]Table 13'!B36</f>
        <v>Henderson</v>
      </c>
      <c r="C35" s="428" t="str">
        <f>VLOOKUP($A35,[0]!Data,15,FALSE)</f>
        <v>Yes</v>
      </c>
      <c r="D35" s="358">
        <f>VLOOKUP($A35,[0]!Data,16,FALSE)</f>
        <v>1947</v>
      </c>
      <c r="E35" s="358">
        <f>VLOOKUP($A35,[0]!Data,18,FALSE)</f>
        <v>131</v>
      </c>
      <c r="F35" s="358">
        <f>VLOOKUP($A35,[0]!Data,20,FALSE)</f>
        <v>4454</v>
      </c>
      <c r="G35" s="358">
        <f>VLOOKUP($A35,[0]!Data,24,FALSE)</f>
        <v>345600</v>
      </c>
      <c r="H35" s="358">
        <f>VLOOKUP($A35,[0]!Data,22,FALSE)</f>
        <v>69251</v>
      </c>
      <c r="I35" s="358">
        <f>VLOOKUP($A35,[0]!Data,17,FALSE)</f>
        <v>480</v>
      </c>
      <c r="J35" s="358">
        <f>VLOOKUP($A35,[0]!Data,19,FALSE)</f>
        <v>30</v>
      </c>
      <c r="K35" s="358">
        <f>VLOOKUP($A35,[0]!Data,21,FALSE)</f>
        <v>396</v>
      </c>
      <c r="L35" s="358">
        <f>VLOOKUP($A35,[0]!Data,25,FALSE)</f>
        <v>131250</v>
      </c>
      <c r="M35" s="358">
        <f>VLOOKUP($A35,[0]!Data,23,FALSE)</f>
        <v>12345</v>
      </c>
      <c r="N35" s="358">
        <f t="shared" si="0"/>
        <v>2427</v>
      </c>
      <c r="O35" s="358">
        <f t="shared" si="1"/>
        <v>161</v>
      </c>
      <c r="P35" s="358">
        <f t="shared" si="2"/>
        <v>4850</v>
      </c>
      <c r="Q35" s="360">
        <f t="shared" si="3"/>
        <v>81596</v>
      </c>
    </row>
    <row r="36" spans="1:17" x14ac:dyDescent="0.2">
      <c r="A36" s="40" t="str">
        <f>'[2]Table 13'!A37</f>
        <v>NC0040</v>
      </c>
      <c r="B36" s="41" t="str">
        <f>'[2]Table 13'!B37</f>
        <v>Iredell</v>
      </c>
      <c r="C36" s="428" t="str">
        <f>VLOOKUP($A36,[0]!Data,15,FALSE)</f>
        <v>Yes</v>
      </c>
      <c r="D36" s="358">
        <f>VLOOKUP($A36,[0]!Data,16,FALSE)</f>
        <v>1006</v>
      </c>
      <c r="E36" s="358">
        <f>VLOOKUP($A36,[0]!Data,18,FALSE)</f>
        <v>126</v>
      </c>
      <c r="F36" s="358">
        <f>VLOOKUP($A36,[0]!Data,20,FALSE)</f>
        <v>-1</v>
      </c>
      <c r="G36" s="358">
        <f>VLOOKUP($A36,[0]!Data,24,FALSE)</f>
        <v>0</v>
      </c>
      <c r="H36" s="358">
        <f>VLOOKUP($A36,[0]!Data,22,FALSE)</f>
        <v>41253</v>
      </c>
      <c r="I36" s="358">
        <f>VLOOKUP($A36,[0]!Data,17,FALSE)</f>
        <v>235</v>
      </c>
      <c r="J36" s="358">
        <f>VLOOKUP($A36,[0]!Data,19,FALSE)</f>
        <v>46</v>
      </c>
      <c r="K36" s="358">
        <f>VLOOKUP($A36,[0]!Data,21,FALSE)</f>
        <v>883</v>
      </c>
      <c r="L36" s="358">
        <f>VLOOKUP($A36,[0]!Data,25,FALSE)</f>
        <v>0</v>
      </c>
      <c r="M36" s="358">
        <f>VLOOKUP($A36,[0]!Data,23,FALSE)</f>
        <v>4171</v>
      </c>
      <c r="N36" s="358">
        <f t="shared" si="0"/>
        <v>1241</v>
      </c>
      <c r="O36" s="358">
        <f t="shared" si="1"/>
        <v>172</v>
      </c>
      <c r="P36" s="358">
        <f t="shared" si="2"/>
        <v>882</v>
      </c>
      <c r="Q36" s="360">
        <f t="shared" si="3"/>
        <v>45424</v>
      </c>
    </row>
    <row r="37" spans="1:17" x14ac:dyDescent="0.2">
      <c r="A37" s="40" t="str">
        <f>'[2]Table 13'!A38</f>
        <v>NC0041</v>
      </c>
      <c r="B37" s="41" t="str">
        <f>'[2]Table 13'!B38</f>
        <v>Johnston</v>
      </c>
      <c r="C37" s="428" t="str">
        <f>VLOOKUP($A37,[0]!Data,15,FALSE)</f>
        <v>Yes</v>
      </c>
      <c r="D37" s="358">
        <f>VLOOKUP($A37,[0]!Data,16,FALSE)</f>
        <v>522</v>
      </c>
      <c r="E37" s="358">
        <f>VLOOKUP($A37,[0]!Data,18,FALSE)</f>
        <v>101</v>
      </c>
      <c r="F37" s="358">
        <f>VLOOKUP($A37,[0]!Data,20,FALSE)</f>
        <v>4393</v>
      </c>
      <c r="G37" s="358">
        <f>VLOOKUP($A37,[0]!Data,24,FALSE)</f>
        <v>0</v>
      </c>
      <c r="H37" s="358">
        <f>VLOOKUP($A37,[0]!Data,22,FALSE)</f>
        <v>31982</v>
      </c>
      <c r="I37" s="358">
        <f>VLOOKUP($A37,[0]!Data,17,FALSE)</f>
        <v>124</v>
      </c>
      <c r="J37" s="358">
        <f>VLOOKUP($A37,[0]!Data,19,FALSE)</f>
        <v>45</v>
      </c>
      <c r="K37" s="358">
        <f>VLOOKUP($A37,[0]!Data,21,FALSE)</f>
        <v>1330</v>
      </c>
      <c r="L37" s="358">
        <f>VLOOKUP($A37,[0]!Data,25,FALSE)</f>
        <v>0</v>
      </c>
      <c r="M37" s="358">
        <f>VLOOKUP($A37,[0]!Data,23,FALSE)</f>
        <v>5165</v>
      </c>
      <c r="N37" s="358">
        <f t="shared" si="0"/>
        <v>646</v>
      </c>
      <c r="O37" s="358">
        <f t="shared" si="1"/>
        <v>146</v>
      </c>
      <c r="P37" s="358">
        <f t="shared" si="2"/>
        <v>5723</v>
      </c>
      <c r="Q37" s="360">
        <f t="shared" si="3"/>
        <v>37147</v>
      </c>
    </row>
    <row r="38" spans="1:17" x14ac:dyDescent="0.2">
      <c r="A38" s="40" t="str">
        <f>'[2]Table 13'!A39</f>
        <v>NC0042</v>
      </c>
      <c r="B38" s="41" t="str">
        <f>'[2]Table 13'!B39</f>
        <v>Lee</v>
      </c>
      <c r="C38" s="428" t="str">
        <f>VLOOKUP($A38,[0]!Data,15,FALSE)</f>
        <v>Yes</v>
      </c>
      <c r="D38" s="358">
        <f>VLOOKUP($A38,[0]!Data,16,FALSE)</f>
        <v>123</v>
      </c>
      <c r="E38" s="358">
        <f>VLOOKUP($A38,[0]!Data,18,FALSE)</f>
        <v>19</v>
      </c>
      <c r="F38" s="358">
        <f>VLOOKUP($A38,[0]!Data,20,FALSE)</f>
        <v>947</v>
      </c>
      <c r="G38" s="358">
        <f>VLOOKUP($A38,[0]!Data,24,FALSE)</f>
        <v>0</v>
      </c>
      <c r="H38" s="358">
        <f>VLOOKUP($A38,[0]!Data,22,FALSE)</f>
        <v>9558</v>
      </c>
      <c r="I38" s="358">
        <f>VLOOKUP($A38,[0]!Data,17,FALSE)</f>
        <v>10</v>
      </c>
      <c r="J38" s="358">
        <f>VLOOKUP($A38,[0]!Data,19,FALSE)</f>
        <v>2</v>
      </c>
      <c r="K38" s="358">
        <f>VLOOKUP($A38,[0]!Data,21,FALSE)</f>
        <v>50</v>
      </c>
      <c r="L38" s="358">
        <f>VLOOKUP($A38,[0]!Data,25,FALSE)</f>
        <v>0</v>
      </c>
      <c r="M38" s="358">
        <f>VLOOKUP($A38,[0]!Data,23,FALSE)</f>
        <v>727</v>
      </c>
      <c r="N38" s="358">
        <f t="shared" si="0"/>
        <v>133</v>
      </c>
      <c r="O38" s="358">
        <f t="shared" si="1"/>
        <v>21</v>
      </c>
      <c r="P38" s="358">
        <f t="shared" si="2"/>
        <v>997</v>
      </c>
      <c r="Q38" s="360">
        <f t="shared" si="3"/>
        <v>10285</v>
      </c>
    </row>
    <row r="39" spans="1:17" x14ac:dyDescent="0.2">
      <c r="A39" s="40" t="str">
        <f>'[2]Table 13'!A40</f>
        <v>NC0106</v>
      </c>
      <c r="B39" s="41" t="str">
        <f>'[2]Table 13'!B40</f>
        <v>Lincoln</v>
      </c>
      <c r="C39" s="428" t="str">
        <f>VLOOKUP($A39,[0]!Data,15,FALSE)</f>
        <v>Yes</v>
      </c>
      <c r="D39" s="358">
        <f>VLOOKUP($A39,[0]!Data,16,FALSE)</f>
        <v>191</v>
      </c>
      <c r="E39" s="358">
        <f>VLOOKUP($A39,[0]!Data,18,FALSE)</f>
        <v>22</v>
      </c>
      <c r="F39" s="358">
        <f>VLOOKUP($A39,[0]!Data,20,FALSE)</f>
        <v>1126</v>
      </c>
      <c r="G39" s="358">
        <f>VLOOKUP($A39,[0]!Data,24,FALSE)</f>
        <v>65615</v>
      </c>
      <c r="H39" s="358">
        <f>VLOOKUP($A39,[0]!Data,22,FALSE)</f>
        <v>7633</v>
      </c>
      <c r="I39" s="358">
        <f>VLOOKUP($A39,[0]!Data,17,FALSE)</f>
        <v>17</v>
      </c>
      <c r="J39" s="358">
        <f>VLOOKUP($A39,[0]!Data,19,FALSE)</f>
        <v>14</v>
      </c>
      <c r="K39" s="358">
        <f>VLOOKUP($A39,[0]!Data,21,FALSE)</f>
        <v>312</v>
      </c>
      <c r="L39" s="358">
        <f>VLOOKUP($A39,[0]!Data,25,FALSE)</f>
        <v>8217</v>
      </c>
      <c r="M39" s="358">
        <f>VLOOKUP($A39,[0]!Data,23,FALSE)</f>
        <v>0</v>
      </c>
      <c r="N39" s="358">
        <f t="shared" si="0"/>
        <v>208</v>
      </c>
      <c r="O39" s="358">
        <f t="shared" si="1"/>
        <v>36</v>
      </c>
      <c r="P39" s="358">
        <f t="shared" si="2"/>
        <v>1438</v>
      </c>
      <c r="Q39" s="360">
        <f t="shared" si="3"/>
        <v>7633</v>
      </c>
    </row>
    <row r="40" spans="1:17" x14ac:dyDescent="0.2">
      <c r="A40" s="40" t="str">
        <f>'[2]Table 13'!A41</f>
        <v>NC0043</v>
      </c>
      <c r="B40" s="41" t="str">
        <f>'[2]Table 13'!B41</f>
        <v>Madison</v>
      </c>
      <c r="C40" s="428" t="str">
        <f>VLOOKUP($A40,[0]!Data,15,FALSE)</f>
        <v>Yes</v>
      </c>
      <c r="D40" s="358">
        <f>VLOOKUP($A40,[0]!Data,16,FALSE)</f>
        <v>496</v>
      </c>
      <c r="E40" s="358">
        <f>VLOOKUP($A40,[0]!Data,18,FALSE)</f>
        <v>21</v>
      </c>
      <c r="F40" s="358">
        <f>VLOOKUP($A40,[0]!Data,20,FALSE)</f>
        <v>2129</v>
      </c>
      <c r="G40" s="358">
        <f>VLOOKUP($A40,[0]!Data,24,FALSE)</f>
        <v>292980</v>
      </c>
      <c r="H40" s="358">
        <f>VLOOKUP($A40,[0]!Data,22,FALSE)</f>
        <v>10033</v>
      </c>
      <c r="I40" s="358">
        <f>VLOOKUP($A40,[0]!Data,17,FALSE)</f>
        <v>414</v>
      </c>
      <c r="J40" s="358">
        <f>VLOOKUP($A40,[0]!Data,19,FALSE)</f>
        <v>13</v>
      </c>
      <c r="K40" s="358">
        <f>VLOOKUP($A40,[0]!Data,21,FALSE)</f>
        <v>233</v>
      </c>
      <c r="L40" s="358">
        <f>VLOOKUP($A40,[0]!Data,25,FALSE)</f>
        <v>172400</v>
      </c>
      <c r="M40" s="358">
        <f>VLOOKUP($A40,[0]!Data,23,FALSE)</f>
        <v>970</v>
      </c>
      <c r="N40" s="358">
        <f t="shared" si="0"/>
        <v>910</v>
      </c>
      <c r="O40" s="358">
        <f t="shared" si="1"/>
        <v>34</v>
      </c>
      <c r="P40" s="358">
        <f t="shared" si="2"/>
        <v>2362</v>
      </c>
      <c r="Q40" s="360">
        <f t="shared" si="3"/>
        <v>11003</v>
      </c>
    </row>
    <row r="41" spans="1:17" x14ac:dyDescent="0.2">
      <c r="A41" s="40" t="str">
        <f>'[2]Table 13'!A42</f>
        <v>NC0044</v>
      </c>
      <c r="B41" s="41" t="str">
        <f>'[2]Table 13'!B42</f>
        <v>McDowell</v>
      </c>
      <c r="C41" s="428" t="str">
        <f>VLOOKUP($A41,[0]!Data,15,FALSE)</f>
        <v>Yes</v>
      </c>
      <c r="D41" s="358">
        <f>VLOOKUP($A41,[0]!Data,16,FALSE)</f>
        <v>440</v>
      </c>
      <c r="E41" s="358">
        <f>VLOOKUP($A41,[0]!Data,18,FALSE)</f>
        <v>67</v>
      </c>
      <c r="F41" s="358">
        <f>VLOOKUP($A41,[0]!Data,20,FALSE)</f>
        <v>1677</v>
      </c>
      <c r="G41" s="358">
        <f>VLOOKUP($A41,[0]!Data,24,FALSE)</f>
        <v>108580</v>
      </c>
      <c r="H41" s="358">
        <f>VLOOKUP($A41,[0]!Data,22,FALSE)</f>
        <v>11886</v>
      </c>
      <c r="I41" s="358">
        <f>VLOOKUP($A41,[0]!Data,17,FALSE)</f>
        <v>71</v>
      </c>
      <c r="J41" s="358">
        <f>VLOOKUP($A41,[0]!Data,19,FALSE)</f>
        <v>20</v>
      </c>
      <c r="K41" s="358">
        <f>VLOOKUP($A41,[0]!Data,21,FALSE)</f>
        <v>207</v>
      </c>
      <c r="L41" s="358">
        <f>VLOOKUP($A41,[0]!Data,25,FALSE)</f>
        <v>82080</v>
      </c>
      <c r="M41" s="358">
        <f>VLOOKUP($A41,[0]!Data,23,FALSE)</f>
        <v>1636</v>
      </c>
      <c r="N41" s="358">
        <f t="shared" si="0"/>
        <v>511</v>
      </c>
      <c r="O41" s="358">
        <f t="shared" si="1"/>
        <v>87</v>
      </c>
      <c r="P41" s="358">
        <f t="shared" si="2"/>
        <v>1884</v>
      </c>
      <c r="Q41" s="360">
        <f t="shared" si="3"/>
        <v>13522</v>
      </c>
    </row>
    <row r="42" spans="1:17" x14ac:dyDescent="0.2">
      <c r="A42" s="40" t="str">
        <f>'[2]Table 13'!A43</f>
        <v>NC0045</v>
      </c>
      <c r="B42" s="41" t="str">
        <f>'[2]Table 13'!B43</f>
        <v>Mecklenburg</v>
      </c>
      <c r="C42" s="428" t="str">
        <f>VLOOKUP($A42,[0]!Data,15,FALSE)</f>
        <v>Yes</v>
      </c>
      <c r="D42" s="358">
        <f>VLOOKUP($A42,[0]!Data,16,FALSE)</f>
        <v>16673</v>
      </c>
      <c r="E42" s="358">
        <f>VLOOKUP($A42,[0]!Data,18,FALSE)</f>
        <v>4770</v>
      </c>
      <c r="F42" s="358">
        <f>VLOOKUP($A42,[0]!Data,20,FALSE)</f>
        <v>86558</v>
      </c>
      <c r="G42" s="358">
        <f>VLOOKUP($A42,[0]!Data,24,FALSE)</f>
        <v>11019225</v>
      </c>
      <c r="H42" s="358">
        <f>VLOOKUP($A42,[0]!Data,22,FALSE)</f>
        <v>630302</v>
      </c>
      <c r="I42" s="358">
        <f>VLOOKUP($A42,[0]!Data,17,FALSE)</f>
        <v>5493</v>
      </c>
      <c r="J42" s="358">
        <f>VLOOKUP($A42,[0]!Data,19,FALSE)</f>
        <v>727</v>
      </c>
      <c r="K42" s="358">
        <f>VLOOKUP($A42,[0]!Data,21,FALSE)</f>
        <v>8306</v>
      </c>
      <c r="L42" s="358">
        <f>VLOOKUP($A42,[0]!Data,25,FALSE)</f>
        <v>3446794</v>
      </c>
      <c r="M42" s="358">
        <f>VLOOKUP($A42,[0]!Data,23,FALSE)</f>
        <v>61261</v>
      </c>
      <c r="N42" s="358">
        <f t="shared" si="0"/>
        <v>22166</v>
      </c>
      <c r="O42" s="358">
        <f t="shared" si="1"/>
        <v>5497</v>
      </c>
      <c r="P42" s="358">
        <f t="shared" si="2"/>
        <v>94864</v>
      </c>
      <c r="Q42" s="360">
        <f t="shared" si="3"/>
        <v>691563</v>
      </c>
    </row>
    <row r="43" spans="1:17" x14ac:dyDescent="0.2">
      <c r="A43" s="40" t="str">
        <f>'[2]Table 13'!A44</f>
        <v>NC0046</v>
      </c>
      <c r="B43" s="41" t="str">
        <f>'[2]Table 13'!B44</f>
        <v>Nash (Braswell)</v>
      </c>
      <c r="C43" s="428">
        <f>VLOOKUP($A43,[0]!Data,15,FALSE)</f>
        <v>0</v>
      </c>
      <c r="D43" s="358">
        <f>VLOOKUP($A43,[0]!Data,16,FALSE)</f>
        <v>1517</v>
      </c>
      <c r="E43" s="358">
        <f>VLOOKUP($A43,[0]!Data,18,FALSE)</f>
        <v>7</v>
      </c>
      <c r="F43" s="358">
        <f>VLOOKUP($A43,[0]!Data,20,FALSE)</f>
        <v>1728</v>
      </c>
      <c r="G43" s="358">
        <f>VLOOKUP($A43,[0]!Data,24,FALSE)</f>
        <v>0</v>
      </c>
      <c r="H43" s="358">
        <f>VLOOKUP($A43,[0]!Data,22,FALSE)</f>
        <v>25104</v>
      </c>
      <c r="I43" s="358">
        <f>VLOOKUP($A43,[0]!Data,17,FALSE)</f>
        <v>60</v>
      </c>
      <c r="J43" s="358">
        <f>VLOOKUP($A43,[0]!Data,19,FALSE)</f>
        <v>11</v>
      </c>
      <c r="K43" s="358">
        <f>VLOOKUP($A43,[0]!Data,21,FALSE)</f>
        <v>80</v>
      </c>
      <c r="L43" s="358">
        <f>VLOOKUP($A43,[0]!Data,25,FALSE)</f>
        <v>0</v>
      </c>
      <c r="M43" s="358">
        <f>VLOOKUP($A43,[0]!Data,23,FALSE)</f>
        <v>2641</v>
      </c>
      <c r="N43" s="358">
        <f t="shared" si="0"/>
        <v>1577</v>
      </c>
      <c r="O43" s="358">
        <f t="shared" si="1"/>
        <v>18</v>
      </c>
      <c r="P43" s="358">
        <f t="shared" si="2"/>
        <v>1808</v>
      </c>
      <c r="Q43" s="360">
        <f t="shared" si="3"/>
        <v>27745</v>
      </c>
    </row>
    <row r="44" spans="1:17" x14ac:dyDescent="0.2">
      <c r="A44" s="40" t="str">
        <f>'[2]Table 13'!A45</f>
        <v>NC0047</v>
      </c>
      <c r="B44" s="41" t="str">
        <f>'[2]Table 13'!B45</f>
        <v>New Hanover</v>
      </c>
      <c r="C44" s="428" t="str">
        <f>VLOOKUP($A44,[0]!Data,15,FALSE)</f>
        <v>No</v>
      </c>
      <c r="D44" s="358">
        <f>VLOOKUP($A44,[0]!Data,16,FALSE)</f>
        <v>2822</v>
      </c>
      <c r="E44" s="358">
        <f>VLOOKUP($A44,[0]!Data,18,FALSE)</f>
        <v>416</v>
      </c>
      <c r="F44" s="358">
        <f>VLOOKUP($A44,[0]!Data,20,FALSE)</f>
        <v>14639</v>
      </c>
      <c r="G44" s="358">
        <f>VLOOKUP($A44,[0]!Data,24,FALSE)</f>
        <v>0</v>
      </c>
      <c r="H44" s="358">
        <f>VLOOKUP($A44,[0]!Data,22,FALSE)</f>
        <v>112288</v>
      </c>
      <c r="I44" s="358">
        <f>VLOOKUP($A44,[0]!Data,17,FALSE)</f>
        <v>202</v>
      </c>
      <c r="J44" s="358">
        <f>VLOOKUP($A44,[0]!Data,19,FALSE)</f>
        <v>37</v>
      </c>
      <c r="K44" s="358">
        <f>VLOOKUP($A44,[0]!Data,21,FALSE)</f>
        <v>255</v>
      </c>
      <c r="L44" s="358">
        <f>VLOOKUP($A44,[0]!Data,25,FALSE)</f>
        <v>0</v>
      </c>
      <c r="M44" s="358">
        <f>VLOOKUP($A44,[0]!Data,23,FALSE)</f>
        <v>10964</v>
      </c>
      <c r="N44" s="358">
        <f t="shared" si="0"/>
        <v>3024</v>
      </c>
      <c r="O44" s="358">
        <f t="shared" si="1"/>
        <v>453</v>
      </c>
      <c r="P44" s="358">
        <f t="shared" si="2"/>
        <v>14894</v>
      </c>
      <c r="Q44" s="360">
        <f t="shared" si="3"/>
        <v>123252</v>
      </c>
    </row>
    <row r="45" spans="1:17" x14ac:dyDescent="0.2">
      <c r="A45" s="40" t="str">
        <f>'[2]Table 13'!A46</f>
        <v>NC0048</v>
      </c>
      <c r="B45" s="41" t="str">
        <f>'[2]Table 13'!B46</f>
        <v>Onslow</v>
      </c>
      <c r="C45" s="428" t="str">
        <f>VLOOKUP($A45,[0]!Data,15,FALSE)</f>
        <v>No</v>
      </c>
      <c r="D45" s="358">
        <f>VLOOKUP($A45,[0]!Data,16,FALSE)</f>
        <v>1606</v>
      </c>
      <c r="E45" s="358">
        <f>VLOOKUP($A45,[0]!Data,18,FALSE)</f>
        <v>125</v>
      </c>
      <c r="F45" s="358">
        <f>VLOOKUP($A45,[0]!Data,20,FALSE)</f>
        <v>8735</v>
      </c>
      <c r="G45" s="358">
        <f>VLOOKUP($A45,[0]!Data,24,FALSE)</f>
        <v>790200</v>
      </c>
      <c r="H45" s="358">
        <f>VLOOKUP($A45,[0]!Data,22,FALSE)</f>
        <v>61658</v>
      </c>
      <c r="I45" s="358">
        <f>VLOOKUP($A45,[0]!Data,17,FALSE)</f>
        <v>251</v>
      </c>
      <c r="J45" s="358">
        <f>VLOOKUP($A45,[0]!Data,19,FALSE)</f>
        <v>24</v>
      </c>
      <c r="K45" s="358">
        <f>VLOOKUP($A45,[0]!Data,21,FALSE)</f>
        <v>557</v>
      </c>
      <c r="L45" s="358">
        <f>VLOOKUP($A45,[0]!Data,25,FALSE)</f>
        <v>241200</v>
      </c>
      <c r="M45" s="358">
        <f>VLOOKUP($A45,[0]!Data,23,FALSE)</f>
        <v>5906</v>
      </c>
      <c r="N45" s="358">
        <f t="shared" si="0"/>
        <v>1857</v>
      </c>
      <c r="O45" s="358">
        <f t="shared" si="1"/>
        <v>149</v>
      </c>
      <c r="P45" s="358">
        <f t="shared" si="2"/>
        <v>9292</v>
      </c>
      <c r="Q45" s="360">
        <f t="shared" si="3"/>
        <v>67564</v>
      </c>
    </row>
    <row r="46" spans="1:17" x14ac:dyDescent="0.2">
      <c r="A46" s="40" t="str">
        <f>'[2]Table 13'!A47</f>
        <v>NC0108</v>
      </c>
      <c r="B46" s="41" t="str">
        <f>'[2]Table 13'!B47</f>
        <v>Orange</v>
      </c>
      <c r="C46" s="428" t="str">
        <f>VLOOKUP($A46,[0]!Data,15,FALSE)</f>
        <v>No</v>
      </c>
      <c r="D46" s="358">
        <f>VLOOKUP($A46,[0]!Data,16,FALSE)</f>
        <v>486</v>
      </c>
      <c r="E46" s="358">
        <f>VLOOKUP($A46,[0]!Data,18,FALSE)</f>
        <v>96</v>
      </c>
      <c r="F46" s="358">
        <f>VLOOKUP($A46,[0]!Data,20,FALSE)</f>
        <v>3000</v>
      </c>
      <c r="G46" s="358">
        <f>VLOOKUP($A46,[0]!Data,24,FALSE)</f>
        <v>368199</v>
      </c>
      <c r="H46" s="358">
        <f>VLOOKUP($A46,[0]!Data,22,FALSE)</f>
        <v>54141</v>
      </c>
      <c r="I46" s="358">
        <f>VLOOKUP($A46,[0]!Data,17,FALSE)</f>
        <v>134</v>
      </c>
      <c r="J46" s="358">
        <f>VLOOKUP($A46,[0]!Data,19,FALSE)</f>
        <v>14</v>
      </c>
      <c r="K46" s="358">
        <f>VLOOKUP($A46,[0]!Data,21,FALSE)</f>
        <v>182</v>
      </c>
      <c r="L46" s="358">
        <f>VLOOKUP($A46,[0]!Data,25,FALSE)</f>
        <v>0</v>
      </c>
      <c r="M46" s="358">
        <f>VLOOKUP($A46,[0]!Data,23,FALSE)</f>
        <v>4986</v>
      </c>
      <c r="N46" s="358">
        <f t="shared" si="0"/>
        <v>620</v>
      </c>
      <c r="O46" s="358">
        <f t="shared" si="1"/>
        <v>110</v>
      </c>
      <c r="P46" s="358">
        <f t="shared" si="2"/>
        <v>3182</v>
      </c>
      <c r="Q46" s="360">
        <f t="shared" si="3"/>
        <v>59127</v>
      </c>
    </row>
    <row r="47" spans="1:17" x14ac:dyDescent="0.2">
      <c r="A47" s="40" t="str">
        <f>'[2]Table 13'!A48</f>
        <v>NC0049</v>
      </c>
      <c r="B47" s="41" t="str">
        <f>'[2]Table 13'!B48</f>
        <v>Pender</v>
      </c>
      <c r="C47" s="428" t="str">
        <f>VLOOKUP($A47,[0]!Data,15,FALSE)</f>
        <v>No</v>
      </c>
      <c r="D47" s="358">
        <f>VLOOKUP($A47,[0]!Data,16,FALSE)</f>
        <v>472</v>
      </c>
      <c r="E47" s="358">
        <f>VLOOKUP($A47,[0]!Data,18,FALSE)</f>
        <v>137</v>
      </c>
      <c r="F47" s="358">
        <f>VLOOKUP($A47,[0]!Data,20,FALSE)</f>
        <v>3607</v>
      </c>
      <c r="G47" s="358">
        <f>VLOOKUP($A47,[0]!Data,24,FALSE)</f>
        <v>101100</v>
      </c>
      <c r="H47" s="358">
        <f>VLOOKUP($A47,[0]!Data,22,FALSE)</f>
        <v>24305</v>
      </c>
      <c r="I47" s="358">
        <f>VLOOKUP($A47,[0]!Data,17,FALSE)</f>
        <v>27</v>
      </c>
      <c r="J47" s="358">
        <f>VLOOKUP($A47,[0]!Data,19,FALSE)</f>
        <v>0</v>
      </c>
      <c r="K47" s="358">
        <f>VLOOKUP($A47,[0]!Data,21,FALSE)</f>
        <v>0</v>
      </c>
      <c r="L47" s="358">
        <f>VLOOKUP($A47,[0]!Data,25,FALSE)</f>
        <v>0</v>
      </c>
      <c r="M47" s="358">
        <f>VLOOKUP($A47,[0]!Data,23,FALSE)</f>
        <v>3210</v>
      </c>
      <c r="N47" s="358">
        <f t="shared" si="0"/>
        <v>499</v>
      </c>
      <c r="O47" s="358">
        <f t="shared" si="1"/>
        <v>137</v>
      </c>
      <c r="P47" s="358">
        <f t="shared" si="2"/>
        <v>3607</v>
      </c>
      <c r="Q47" s="360">
        <f t="shared" si="3"/>
        <v>27515</v>
      </c>
    </row>
    <row r="48" spans="1:17" x14ac:dyDescent="0.2">
      <c r="A48" s="40" t="str">
        <f>'[2]Table 13'!A49</f>
        <v>NC0109</v>
      </c>
      <c r="B48" s="41" t="str">
        <f>'[2]Table 13'!B49</f>
        <v>Person</v>
      </c>
      <c r="C48" s="428" t="str">
        <f>VLOOKUP($A48,[0]!Data,15,FALSE)</f>
        <v>Yes</v>
      </c>
      <c r="D48" s="358">
        <f>VLOOKUP($A48,[0]!Data,16,FALSE)</f>
        <v>217</v>
      </c>
      <c r="E48" s="358">
        <f>VLOOKUP($A48,[0]!Data,18,FALSE)</f>
        <v>37</v>
      </c>
      <c r="F48" s="358">
        <f>VLOOKUP($A48,[0]!Data,20,FALSE)</f>
        <v>992</v>
      </c>
      <c r="G48" s="358">
        <f>VLOOKUP($A48,[0]!Data,24,FALSE)</f>
        <v>420440</v>
      </c>
      <c r="H48" s="358">
        <f>VLOOKUP($A48,[0]!Data,22,FALSE)</f>
        <v>18645</v>
      </c>
      <c r="I48" s="358">
        <f>VLOOKUP($A48,[0]!Data,17,FALSE)</f>
        <v>31</v>
      </c>
      <c r="J48" s="358">
        <f>VLOOKUP($A48,[0]!Data,19,FALSE)</f>
        <v>4</v>
      </c>
      <c r="K48" s="358">
        <f>VLOOKUP($A48,[0]!Data,21,FALSE)</f>
        <v>11</v>
      </c>
      <c r="L48" s="358">
        <f>VLOOKUP($A48,[0]!Data,25,FALSE)</f>
        <v>63480</v>
      </c>
      <c r="M48" s="358">
        <f>VLOOKUP($A48,[0]!Data,23,FALSE)</f>
        <v>864</v>
      </c>
      <c r="N48" s="358">
        <f t="shared" si="0"/>
        <v>248</v>
      </c>
      <c r="O48" s="358">
        <f t="shared" si="1"/>
        <v>41</v>
      </c>
      <c r="P48" s="358">
        <f t="shared" si="2"/>
        <v>1003</v>
      </c>
      <c r="Q48" s="360">
        <f t="shared" si="3"/>
        <v>19509</v>
      </c>
    </row>
    <row r="49" spans="1:17" x14ac:dyDescent="0.2">
      <c r="A49" s="40" t="str">
        <f>'[2]Table 13'!A50</f>
        <v>NC0050</v>
      </c>
      <c r="B49" s="41" t="str">
        <f>'[2]Table 13'!B50</f>
        <v>Pitt (Sheppard)</v>
      </c>
      <c r="C49" s="428" t="str">
        <f>VLOOKUP($A49,[0]!Data,15,FALSE)</f>
        <v>Yes</v>
      </c>
      <c r="D49" s="358">
        <f>VLOOKUP($A49,[0]!Data,16,FALSE)</f>
        <v>977</v>
      </c>
      <c r="E49" s="358">
        <f>VLOOKUP($A49,[0]!Data,18,FALSE)</f>
        <v>165</v>
      </c>
      <c r="F49" s="358">
        <f>VLOOKUP($A49,[0]!Data,20,FALSE)</f>
        <v>5372</v>
      </c>
      <c r="G49" s="358">
        <f>VLOOKUP($A49,[0]!Data,24,FALSE)</f>
        <v>948360</v>
      </c>
      <c r="H49" s="358">
        <f>VLOOKUP($A49,[0]!Data,22,FALSE)</f>
        <v>67082</v>
      </c>
      <c r="I49" s="358">
        <f>VLOOKUP($A49,[0]!Data,17,FALSE)</f>
        <v>0</v>
      </c>
      <c r="J49" s="358">
        <f>VLOOKUP($A49,[0]!Data,19,FALSE)</f>
        <v>0</v>
      </c>
      <c r="K49" s="358">
        <f>VLOOKUP($A49,[0]!Data,21,FALSE)</f>
        <v>0</v>
      </c>
      <c r="L49" s="358">
        <f>VLOOKUP($A49,[0]!Data,25,FALSE)</f>
        <v>0</v>
      </c>
      <c r="M49" s="358">
        <f>VLOOKUP($A49,[0]!Data,23,FALSE)</f>
        <v>5556</v>
      </c>
      <c r="N49" s="358">
        <f t="shared" si="0"/>
        <v>977</v>
      </c>
      <c r="O49" s="358">
        <f t="shared" si="1"/>
        <v>165</v>
      </c>
      <c r="P49" s="358">
        <f t="shared" si="2"/>
        <v>5372</v>
      </c>
      <c r="Q49" s="360">
        <f t="shared" si="3"/>
        <v>72638</v>
      </c>
    </row>
    <row r="50" spans="1:17" x14ac:dyDescent="0.2">
      <c r="A50" s="40" t="str">
        <f>'[2]Table 13'!A51</f>
        <v>NC0051</v>
      </c>
      <c r="B50" s="41" t="str">
        <f>'[2]Table 13'!B51</f>
        <v>Polk</v>
      </c>
      <c r="C50" s="428" t="str">
        <f>VLOOKUP($A50,[0]!Data,15,FALSE)</f>
        <v>Yes</v>
      </c>
      <c r="D50" s="358">
        <f>VLOOKUP($A50,[0]!Data,16,FALSE)</f>
        <v>231</v>
      </c>
      <c r="E50" s="358">
        <f>VLOOKUP($A50,[0]!Data,18,FALSE)</f>
        <v>30</v>
      </c>
      <c r="F50" s="358">
        <f>VLOOKUP($A50,[0]!Data,20,FALSE)</f>
        <v>1549</v>
      </c>
      <c r="G50" s="358">
        <f>VLOOKUP($A50,[0]!Data,24,FALSE)</f>
        <v>0</v>
      </c>
      <c r="H50" s="358">
        <f>VLOOKUP($A50,[0]!Data,22,FALSE)</f>
        <v>8637</v>
      </c>
      <c r="I50" s="358">
        <f>VLOOKUP($A50,[0]!Data,17,FALSE)</f>
        <v>53</v>
      </c>
      <c r="J50" s="358">
        <f>VLOOKUP($A50,[0]!Data,19,FALSE)</f>
        <v>10</v>
      </c>
      <c r="K50" s="358">
        <f>VLOOKUP($A50,[0]!Data,21,FALSE)</f>
        <v>54</v>
      </c>
      <c r="L50" s="358">
        <f>VLOOKUP($A50,[0]!Data,25,FALSE)</f>
        <v>0</v>
      </c>
      <c r="M50" s="358">
        <f>VLOOKUP($A50,[0]!Data,23,FALSE)</f>
        <v>1186</v>
      </c>
      <c r="N50" s="358">
        <f t="shared" si="0"/>
        <v>284</v>
      </c>
      <c r="O50" s="358">
        <f t="shared" si="1"/>
        <v>40</v>
      </c>
      <c r="P50" s="358">
        <f t="shared" si="2"/>
        <v>1603</v>
      </c>
      <c r="Q50" s="360">
        <f t="shared" si="3"/>
        <v>9823</v>
      </c>
    </row>
    <row r="51" spans="1:17" x14ac:dyDescent="0.2">
      <c r="A51" s="40" t="str">
        <f>'[2]Table 13'!A52</f>
        <v>NC0052</v>
      </c>
      <c r="B51" s="41" t="str">
        <f>'[2]Table 13'!B52</f>
        <v>Randolph</v>
      </c>
      <c r="C51" s="428" t="str">
        <f>VLOOKUP($A51,[0]!Data,15,FALSE)</f>
        <v>Yes</v>
      </c>
      <c r="D51" s="358">
        <f>VLOOKUP($A51,[0]!Data,16,FALSE)</f>
        <v>2019</v>
      </c>
      <c r="E51" s="358">
        <f>VLOOKUP($A51,[0]!Data,18,FALSE)</f>
        <v>203</v>
      </c>
      <c r="F51" s="358">
        <f>VLOOKUP($A51,[0]!Data,20,FALSE)</f>
        <v>7572</v>
      </c>
      <c r="G51" s="358">
        <f>VLOOKUP($A51,[0]!Data,24,FALSE)</f>
        <v>963417</v>
      </c>
      <c r="H51" s="358">
        <f>VLOOKUP($A51,[0]!Data,22,FALSE)</f>
        <v>54167</v>
      </c>
      <c r="I51" s="358">
        <f>VLOOKUP($A51,[0]!Data,17,FALSE)</f>
        <v>185</v>
      </c>
      <c r="J51" s="358">
        <f>VLOOKUP($A51,[0]!Data,19,FALSE)</f>
        <v>30</v>
      </c>
      <c r="K51" s="358">
        <f>VLOOKUP($A51,[0]!Data,21,FALSE)</f>
        <v>265</v>
      </c>
      <c r="L51" s="358">
        <f>VLOOKUP($A51,[0]!Data,25,FALSE)</f>
        <v>36346</v>
      </c>
      <c r="M51" s="358">
        <f>VLOOKUP($A51,[0]!Data,23,FALSE)</f>
        <v>6544</v>
      </c>
      <c r="N51" s="358">
        <f t="shared" si="0"/>
        <v>2204</v>
      </c>
      <c r="O51" s="358">
        <f t="shared" si="1"/>
        <v>233</v>
      </c>
      <c r="P51" s="358">
        <f t="shared" si="2"/>
        <v>7837</v>
      </c>
      <c r="Q51" s="360">
        <f t="shared" si="3"/>
        <v>60711</v>
      </c>
    </row>
    <row r="52" spans="1:17" x14ac:dyDescent="0.2">
      <c r="A52" s="40" t="str">
        <f>'[2]Table 13'!A53</f>
        <v>NC0053</v>
      </c>
      <c r="B52" s="41" t="str">
        <f>'[2]Table 13'!B53</f>
        <v>Robeson</v>
      </c>
      <c r="C52" s="428" t="str">
        <f>VLOOKUP($A52,[0]!Data,15,FALSE)</f>
        <v>Yes</v>
      </c>
      <c r="D52" s="358">
        <f>VLOOKUP($A52,[0]!Data,16,FALSE)</f>
        <v>246</v>
      </c>
      <c r="E52" s="358">
        <f>VLOOKUP($A52,[0]!Data,18,FALSE)</f>
        <v>75</v>
      </c>
      <c r="F52" s="358">
        <f>VLOOKUP($A52,[0]!Data,20,FALSE)</f>
        <v>1049</v>
      </c>
      <c r="G52" s="358">
        <f>VLOOKUP($A52,[0]!Data,24,FALSE)</f>
        <v>58000</v>
      </c>
      <c r="H52" s="358">
        <f>VLOOKUP($A52,[0]!Data,22,FALSE)</f>
        <v>15319</v>
      </c>
      <c r="I52" s="358">
        <f>VLOOKUP($A52,[0]!Data,17,FALSE)</f>
        <v>89</v>
      </c>
      <c r="J52" s="358">
        <f>VLOOKUP($A52,[0]!Data,19,FALSE)</f>
        <v>0</v>
      </c>
      <c r="K52" s="358">
        <f>VLOOKUP($A52,[0]!Data,21,FALSE)</f>
        <v>0</v>
      </c>
      <c r="L52" s="358">
        <f>VLOOKUP($A52,[0]!Data,25,FALSE)</f>
        <v>8000</v>
      </c>
      <c r="M52" s="358">
        <f>VLOOKUP($A52,[0]!Data,23,FALSE)</f>
        <v>1546</v>
      </c>
      <c r="N52" s="358">
        <f t="shared" si="0"/>
        <v>335</v>
      </c>
      <c r="O52" s="358">
        <f t="shared" si="1"/>
        <v>75</v>
      </c>
      <c r="P52" s="358">
        <f t="shared" si="2"/>
        <v>1049</v>
      </c>
      <c r="Q52" s="360">
        <f t="shared" si="3"/>
        <v>16865</v>
      </c>
    </row>
    <row r="53" spans="1:17" x14ac:dyDescent="0.2">
      <c r="A53" s="40" t="str">
        <f>'[2]Table 13'!A54</f>
        <v>NC0054</v>
      </c>
      <c r="B53" s="41" t="str">
        <f>'[2]Table 13'!B54</f>
        <v>Rockingham</v>
      </c>
      <c r="C53" s="428" t="str">
        <f>VLOOKUP($A53,[0]!Data,15,FALSE)</f>
        <v>No</v>
      </c>
      <c r="D53" s="358">
        <f>VLOOKUP($A53,[0]!Data,16,FALSE)</f>
        <v>768</v>
      </c>
      <c r="E53" s="358">
        <f>VLOOKUP($A53,[0]!Data,18,FALSE)</f>
        <v>106</v>
      </c>
      <c r="F53" s="358">
        <f>VLOOKUP($A53,[0]!Data,20,FALSE)</f>
        <v>2706</v>
      </c>
      <c r="G53" s="358">
        <f>VLOOKUP($A53,[0]!Data,24,FALSE)</f>
        <v>76196</v>
      </c>
      <c r="H53" s="358">
        <f>VLOOKUP($A53,[0]!Data,22,FALSE)</f>
        <v>22126</v>
      </c>
      <c r="I53" s="358">
        <f>VLOOKUP($A53,[0]!Data,17,FALSE)</f>
        <v>0</v>
      </c>
      <c r="J53" s="358">
        <f>VLOOKUP($A53,[0]!Data,19,FALSE)</f>
        <v>18</v>
      </c>
      <c r="K53" s="358">
        <f>VLOOKUP($A53,[0]!Data,21,FALSE)</f>
        <v>106</v>
      </c>
      <c r="L53" s="358">
        <f>VLOOKUP($A53,[0]!Data,25,FALSE)</f>
        <v>13186</v>
      </c>
      <c r="M53" s="358">
        <f>VLOOKUP($A53,[0]!Data,23,FALSE)</f>
        <v>3849</v>
      </c>
      <c r="N53" s="358">
        <f t="shared" si="0"/>
        <v>768</v>
      </c>
      <c r="O53" s="358">
        <f t="shared" si="1"/>
        <v>124</v>
      </c>
      <c r="P53" s="358">
        <f t="shared" si="2"/>
        <v>2812</v>
      </c>
      <c r="Q53" s="360">
        <f t="shared" si="3"/>
        <v>25975</v>
      </c>
    </row>
    <row r="54" spans="1:17" x14ac:dyDescent="0.2">
      <c r="A54" s="40" t="str">
        <f>'[2]Table 13'!A55</f>
        <v>NC0055</v>
      </c>
      <c r="B54" s="41" t="str">
        <f>'[2]Table 13'!B55</f>
        <v>Rowan</v>
      </c>
      <c r="C54" s="428" t="str">
        <f>VLOOKUP($A54,[0]!Data,15,FALSE)</f>
        <v>Yes</v>
      </c>
      <c r="D54" s="358">
        <f>VLOOKUP($A54,[0]!Data,16,FALSE)</f>
        <v>2313</v>
      </c>
      <c r="E54" s="358">
        <f>VLOOKUP($A54,[0]!Data,18,FALSE)</f>
        <v>110</v>
      </c>
      <c r="F54" s="358">
        <f>VLOOKUP($A54,[0]!Data,20,FALSE)</f>
        <v>8265</v>
      </c>
      <c r="G54" s="358">
        <f>VLOOKUP($A54,[0]!Data,24,FALSE)</f>
        <v>803640</v>
      </c>
      <c r="H54" s="358">
        <f>VLOOKUP($A54,[0]!Data,22,FALSE)</f>
        <v>50207</v>
      </c>
      <c r="I54" s="358">
        <f>VLOOKUP($A54,[0]!Data,17,FALSE)</f>
        <v>329</v>
      </c>
      <c r="J54" s="358">
        <f>VLOOKUP($A54,[0]!Data,19,FALSE)</f>
        <v>22</v>
      </c>
      <c r="K54" s="358">
        <f>VLOOKUP($A54,[0]!Data,21,FALSE)</f>
        <v>489</v>
      </c>
      <c r="L54" s="358">
        <f>VLOOKUP($A54,[0]!Data,25,FALSE)</f>
        <v>590160</v>
      </c>
      <c r="M54" s="358">
        <f>VLOOKUP($A54,[0]!Data,23,FALSE)</f>
        <v>7415</v>
      </c>
      <c r="N54" s="358">
        <f t="shared" si="0"/>
        <v>2642</v>
      </c>
      <c r="O54" s="358">
        <f t="shared" si="1"/>
        <v>132</v>
      </c>
      <c r="P54" s="358">
        <f t="shared" si="2"/>
        <v>8754</v>
      </c>
      <c r="Q54" s="360">
        <f t="shared" si="3"/>
        <v>57622</v>
      </c>
    </row>
    <row r="55" spans="1:17" x14ac:dyDescent="0.2">
      <c r="A55" s="40" t="str">
        <f>'[2]Table 13'!A56</f>
        <v>NC0056</v>
      </c>
      <c r="B55" s="41" t="str">
        <f>'[2]Table 13'!B56</f>
        <v>Rutherford</v>
      </c>
      <c r="C55" s="428" t="str">
        <f>VLOOKUP($A55,[0]!Data,15,FALSE)</f>
        <v>Yes</v>
      </c>
      <c r="D55" s="358">
        <f>VLOOKUP($A55,[0]!Data,16,FALSE)</f>
        <v>220</v>
      </c>
      <c r="E55" s="358">
        <f>VLOOKUP($A55,[0]!Data,18,FALSE)</f>
        <v>15</v>
      </c>
      <c r="F55" s="358">
        <f>VLOOKUP($A55,[0]!Data,20,FALSE)</f>
        <v>587</v>
      </c>
      <c r="G55" s="358">
        <f>VLOOKUP($A55,[0]!Data,24,FALSE)</f>
        <v>95000</v>
      </c>
      <c r="H55" s="358">
        <f>VLOOKUP($A55,[0]!Data,22,FALSE)</f>
        <v>10482</v>
      </c>
      <c r="I55" s="358">
        <f>VLOOKUP($A55,[0]!Data,17,FALSE)</f>
        <v>30</v>
      </c>
      <c r="J55" s="358">
        <f>VLOOKUP($A55,[0]!Data,19,FALSE)</f>
        <v>12</v>
      </c>
      <c r="K55" s="358">
        <f>VLOOKUP($A55,[0]!Data,21,FALSE)</f>
        <v>61</v>
      </c>
      <c r="L55" s="358">
        <f>VLOOKUP($A55,[0]!Data,25,FALSE)</f>
        <v>30000</v>
      </c>
      <c r="M55" s="358">
        <f>VLOOKUP($A55,[0]!Data,23,FALSE)</f>
        <v>1437</v>
      </c>
      <c r="N55" s="358">
        <f t="shared" si="0"/>
        <v>250</v>
      </c>
      <c r="O55" s="358">
        <f t="shared" si="1"/>
        <v>27</v>
      </c>
      <c r="P55" s="358">
        <f t="shared" si="2"/>
        <v>648</v>
      </c>
      <c r="Q55" s="360">
        <f t="shared" si="3"/>
        <v>11919</v>
      </c>
    </row>
    <row r="56" spans="1:17" x14ac:dyDescent="0.2">
      <c r="A56" s="40" t="str">
        <f>'[2]Table 13'!A57</f>
        <v>NC0057</v>
      </c>
      <c r="B56" s="41" t="str">
        <f>'[2]Table 13'!B57</f>
        <v>Sampson</v>
      </c>
      <c r="C56" s="428" t="str">
        <f>VLOOKUP($A56,[0]!Data,15,FALSE)</f>
        <v>No</v>
      </c>
      <c r="D56" s="358">
        <f>VLOOKUP($A56,[0]!Data,16,FALSE)</f>
        <v>303</v>
      </c>
      <c r="E56" s="358">
        <f>VLOOKUP($A56,[0]!Data,18,FALSE)</f>
        <v>21</v>
      </c>
      <c r="F56" s="358">
        <f>VLOOKUP($A56,[0]!Data,20,FALSE)</f>
        <v>657</v>
      </c>
      <c r="G56" s="358">
        <f>VLOOKUP($A56,[0]!Data,24,FALSE)</f>
        <v>0</v>
      </c>
      <c r="H56" s="358">
        <f>VLOOKUP($A56,[0]!Data,22,FALSE)</f>
        <v>25033</v>
      </c>
      <c r="I56" s="358">
        <f>VLOOKUP($A56,[0]!Data,17,FALSE)</f>
        <v>0</v>
      </c>
      <c r="J56" s="358">
        <f>VLOOKUP($A56,[0]!Data,19,FALSE)</f>
        <v>0</v>
      </c>
      <c r="K56" s="358">
        <f>VLOOKUP($A56,[0]!Data,21,FALSE)</f>
        <v>0</v>
      </c>
      <c r="L56" s="358">
        <f>VLOOKUP($A56,[0]!Data,25,FALSE)</f>
        <v>0</v>
      </c>
      <c r="M56" s="358">
        <f>VLOOKUP($A56,[0]!Data,23,FALSE)</f>
        <v>1112</v>
      </c>
      <c r="N56" s="358">
        <f t="shared" si="0"/>
        <v>303</v>
      </c>
      <c r="O56" s="358">
        <f t="shared" si="1"/>
        <v>21</v>
      </c>
      <c r="P56" s="358">
        <f t="shared" si="2"/>
        <v>657</v>
      </c>
      <c r="Q56" s="360">
        <f t="shared" si="3"/>
        <v>26145</v>
      </c>
    </row>
    <row r="57" spans="1:17" x14ac:dyDescent="0.2">
      <c r="A57" s="40" t="str">
        <f>'[2]Table 13'!A58</f>
        <v>NC0058</v>
      </c>
      <c r="B57" s="41" t="str">
        <f>'[2]Table 13'!B58</f>
        <v>Scotland</v>
      </c>
      <c r="C57" s="428">
        <f>VLOOKUP($A57,[0]!Data,15,FALSE)</f>
        <v>0</v>
      </c>
      <c r="D57" s="358">
        <f>VLOOKUP($A57,[0]!Data,16,FALSE)</f>
        <v>131</v>
      </c>
      <c r="E57" s="358">
        <f>VLOOKUP($A57,[0]!Data,18,FALSE)</f>
        <v>22</v>
      </c>
      <c r="F57" s="358">
        <f>VLOOKUP($A57,[0]!Data,20,FALSE)</f>
        <v>1760</v>
      </c>
      <c r="G57" s="358">
        <f>VLOOKUP($A57,[0]!Data,24,FALSE)</f>
        <v>17640</v>
      </c>
      <c r="H57" s="358">
        <f>VLOOKUP($A57,[0]!Data,22,FALSE)</f>
        <v>4599</v>
      </c>
      <c r="I57" s="358">
        <f>VLOOKUP($A57,[0]!Data,17,FALSE)</f>
        <v>25</v>
      </c>
      <c r="J57" s="358">
        <f>VLOOKUP($A57,[0]!Data,19,FALSE)</f>
        <v>22</v>
      </c>
      <c r="K57" s="358">
        <f>VLOOKUP($A57,[0]!Data,21,FALSE)</f>
        <v>378</v>
      </c>
      <c r="L57" s="358">
        <f>VLOOKUP($A57,[0]!Data,25,FALSE)</f>
        <v>3360</v>
      </c>
      <c r="M57" s="358">
        <f>VLOOKUP($A57,[0]!Data,23,FALSE)</f>
        <v>909</v>
      </c>
      <c r="N57" s="358">
        <f t="shared" si="0"/>
        <v>156</v>
      </c>
      <c r="O57" s="358">
        <f t="shared" si="1"/>
        <v>44</v>
      </c>
      <c r="P57" s="358">
        <f t="shared" si="2"/>
        <v>2138</v>
      </c>
      <c r="Q57" s="360">
        <f t="shared" si="3"/>
        <v>5508</v>
      </c>
    </row>
    <row r="58" spans="1:17" x14ac:dyDescent="0.2">
      <c r="A58" s="40" t="str">
        <f>'[2]Table 13'!A59</f>
        <v>NC0059</v>
      </c>
      <c r="B58" s="41" t="str">
        <f>'[2]Table 13'!B59</f>
        <v>Stanly</v>
      </c>
      <c r="C58" s="428" t="str">
        <f>VLOOKUP($A58,[0]!Data,15,FALSE)</f>
        <v>Yes</v>
      </c>
      <c r="D58" s="358">
        <f>VLOOKUP($A58,[0]!Data,16,FALSE)</f>
        <v>346</v>
      </c>
      <c r="E58" s="358">
        <f>VLOOKUP($A58,[0]!Data,18,FALSE)</f>
        <v>100</v>
      </c>
      <c r="F58" s="358">
        <f>VLOOKUP($A58,[0]!Data,20,FALSE)</f>
        <v>3246</v>
      </c>
      <c r="G58" s="358">
        <f>VLOOKUP($A58,[0]!Data,24,FALSE)</f>
        <v>0</v>
      </c>
      <c r="H58" s="358">
        <f>VLOOKUP($A58,[0]!Data,22,FALSE)</f>
        <v>19628</v>
      </c>
      <c r="I58" s="358">
        <f>VLOOKUP($A58,[0]!Data,17,FALSE)</f>
        <v>63</v>
      </c>
      <c r="J58" s="358">
        <f>VLOOKUP($A58,[0]!Data,19,FALSE)</f>
        <v>9</v>
      </c>
      <c r="K58" s="358">
        <f>VLOOKUP($A58,[0]!Data,21,FALSE)</f>
        <v>394</v>
      </c>
      <c r="L58" s="358">
        <f>VLOOKUP($A58,[0]!Data,25,FALSE)</f>
        <v>0</v>
      </c>
      <c r="M58" s="358">
        <f>VLOOKUP($A58,[0]!Data,23,FALSE)</f>
        <v>0</v>
      </c>
      <c r="N58" s="358">
        <f t="shared" si="0"/>
        <v>409</v>
      </c>
      <c r="O58" s="358">
        <f t="shared" si="1"/>
        <v>109</v>
      </c>
      <c r="P58" s="358">
        <f t="shared" si="2"/>
        <v>3640</v>
      </c>
      <c r="Q58" s="360">
        <f t="shared" si="3"/>
        <v>19628</v>
      </c>
    </row>
    <row r="59" spans="1:17" x14ac:dyDescent="0.2">
      <c r="A59" s="40" t="str">
        <f>'[2]Table 13'!A60</f>
        <v>NC0060</v>
      </c>
      <c r="B59" s="41" t="str">
        <f>'[2]Table 13'!B60</f>
        <v>Transylvania</v>
      </c>
      <c r="C59" s="428" t="str">
        <f>VLOOKUP($A59,[0]!Data,15,FALSE)</f>
        <v>Yes</v>
      </c>
      <c r="D59" s="358">
        <f>VLOOKUP($A59,[0]!Data,16,FALSE)</f>
        <v>656</v>
      </c>
      <c r="E59" s="358">
        <f>VLOOKUP($A59,[0]!Data,18,FALSE)</f>
        <v>91</v>
      </c>
      <c r="F59" s="358">
        <f>VLOOKUP($A59,[0]!Data,20,FALSE)</f>
        <v>4453</v>
      </c>
      <c r="G59" s="358">
        <f>VLOOKUP($A59,[0]!Data,24,FALSE)</f>
        <v>368920</v>
      </c>
      <c r="H59" s="358">
        <f>VLOOKUP($A59,[0]!Data,22,FALSE)</f>
        <v>24047</v>
      </c>
      <c r="I59" s="358">
        <f>VLOOKUP($A59,[0]!Data,17,FALSE)</f>
        <v>69</v>
      </c>
      <c r="J59" s="358">
        <f>VLOOKUP($A59,[0]!Data,19,FALSE)</f>
        <v>25</v>
      </c>
      <c r="K59" s="358">
        <f>VLOOKUP($A59,[0]!Data,21,FALSE)</f>
        <v>189</v>
      </c>
      <c r="L59" s="358">
        <f>VLOOKUP($A59,[0]!Data,25,FALSE)</f>
        <v>39620</v>
      </c>
      <c r="M59" s="358">
        <f>VLOOKUP($A59,[0]!Data,23,FALSE)</f>
        <v>3995</v>
      </c>
      <c r="N59" s="358">
        <f t="shared" si="0"/>
        <v>725</v>
      </c>
      <c r="O59" s="358">
        <f t="shared" si="1"/>
        <v>116</v>
      </c>
      <c r="P59" s="358">
        <f t="shared" si="2"/>
        <v>4642</v>
      </c>
      <c r="Q59" s="360">
        <f t="shared" si="3"/>
        <v>28042</v>
      </c>
    </row>
    <row r="60" spans="1:17" x14ac:dyDescent="0.2">
      <c r="A60" s="40" t="str">
        <f>'[2]Table 13'!A61</f>
        <v>NC0061</v>
      </c>
      <c r="B60" s="41" t="str">
        <f>'[2]Table 13'!B61</f>
        <v>Union</v>
      </c>
      <c r="C60" s="428" t="str">
        <f>VLOOKUP($A60,[0]!Data,15,FALSE)</f>
        <v>Yes</v>
      </c>
      <c r="D60" s="358">
        <f>VLOOKUP($A60,[0]!Data,16,FALSE)</f>
        <v>1948</v>
      </c>
      <c r="E60" s="358">
        <f>VLOOKUP($A60,[0]!Data,18,FALSE)</f>
        <v>260</v>
      </c>
      <c r="F60" s="358">
        <f>VLOOKUP($A60,[0]!Data,20,FALSE)</f>
        <v>7912</v>
      </c>
      <c r="G60" s="358">
        <f>VLOOKUP($A60,[0]!Data,24,FALSE)</f>
        <v>493471</v>
      </c>
      <c r="H60" s="358">
        <f>VLOOKUP($A60,[0]!Data,22,FALSE)</f>
        <v>92260</v>
      </c>
      <c r="I60" s="358">
        <f>VLOOKUP($A60,[0]!Data,17,FALSE)</f>
        <v>217</v>
      </c>
      <c r="J60" s="358">
        <f>VLOOKUP($A60,[0]!Data,19,FALSE)</f>
        <v>30</v>
      </c>
      <c r="K60" s="358">
        <f>VLOOKUP($A60,[0]!Data,21,FALSE)</f>
        <v>199</v>
      </c>
      <c r="L60" s="358">
        <f>VLOOKUP($A60,[0]!Data,25,FALSE)</f>
        <v>203441</v>
      </c>
      <c r="M60" s="358">
        <f>VLOOKUP($A60,[0]!Data,23,FALSE)</f>
        <v>10931</v>
      </c>
      <c r="N60" s="358">
        <f t="shared" si="0"/>
        <v>2165</v>
      </c>
      <c r="O60" s="358">
        <f t="shared" si="1"/>
        <v>290</v>
      </c>
      <c r="P60" s="358">
        <f t="shared" si="2"/>
        <v>8111</v>
      </c>
      <c r="Q60" s="360">
        <f t="shared" si="3"/>
        <v>103191</v>
      </c>
    </row>
    <row r="61" spans="1:17" x14ac:dyDescent="0.2">
      <c r="A61" s="40" t="str">
        <f>'[2]Table 13'!A62</f>
        <v>NC0062</v>
      </c>
      <c r="B61" s="41" t="str">
        <f>'[2]Table 13'!B62</f>
        <v>Vance (Perry)</v>
      </c>
      <c r="C61" s="428" t="str">
        <f>VLOOKUP($A61,[0]!Data,15,FALSE)</f>
        <v>No</v>
      </c>
      <c r="D61" s="358">
        <f>VLOOKUP($A61,[0]!Data,16,FALSE)</f>
        <v>412</v>
      </c>
      <c r="E61" s="358">
        <f>VLOOKUP($A61,[0]!Data,18,FALSE)</f>
        <v>31</v>
      </c>
      <c r="F61" s="358">
        <f>VLOOKUP($A61,[0]!Data,20,FALSE)</f>
        <v>679</v>
      </c>
      <c r="G61" s="358">
        <f>VLOOKUP($A61,[0]!Data,24,FALSE)</f>
        <v>0</v>
      </c>
      <c r="H61" s="358">
        <f>VLOOKUP($A61,[0]!Data,22,FALSE)</f>
        <v>8099</v>
      </c>
      <c r="I61" s="358">
        <f>VLOOKUP($A61,[0]!Data,17,FALSE)</f>
        <v>91</v>
      </c>
      <c r="J61" s="358">
        <f>VLOOKUP($A61,[0]!Data,19,FALSE)</f>
        <v>11</v>
      </c>
      <c r="K61" s="358">
        <f>VLOOKUP($A61,[0]!Data,21,FALSE)</f>
        <v>486</v>
      </c>
      <c r="L61" s="358">
        <f>VLOOKUP($A61,[0]!Data,25,FALSE)</f>
        <v>0</v>
      </c>
      <c r="M61" s="358">
        <f>VLOOKUP($A61,[0]!Data,23,FALSE)</f>
        <v>1205</v>
      </c>
      <c r="N61" s="358">
        <f t="shared" si="0"/>
        <v>503</v>
      </c>
      <c r="O61" s="358">
        <f t="shared" si="1"/>
        <v>42</v>
      </c>
      <c r="P61" s="358">
        <f t="shared" si="2"/>
        <v>1165</v>
      </c>
      <c r="Q61" s="360">
        <f t="shared" si="3"/>
        <v>9304</v>
      </c>
    </row>
    <row r="62" spans="1:17" x14ac:dyDescent="0.2">
      <c r="A62" s="40" t="str">
        <f>'[2]Table 13'!A63</f>
        <v>NC0063</v>
      </c>
      <c r="B62" s="41" t="str">
        <f>'[2]Table 13'!B63</f>
        <v>Wake</v>
      </c>
      <c r="C62" s="428" t="str">
        <f>VLOOKUP($A62,[0]!Data,15,FALSE)</f>
        <v>No</v>
      </c>
      <c r="D62" s="358">
        <f>VLOOKUP($A62,[0]!Data,16,FALSE)</f>
        <v>29123</v>
      </c>
      <c r="E62" s="358">
        <f>VLOOKUP($A62,[0]!Data,18,FALSE)</f>
        <v>2111</v>
      </c>
      <c r="F62" s="358">
        <f>VLOOKUP($A62,[0]!Data,20,FALSE)</f>
        <v>97716</v>
      </c>
      <c r="G62" s="358">
        <f>VLOOKUP($A62,[0]!Data,24,FALSE)</f>
        <v>0</v>
      </c>
      <c r="H62" s="358">
        <f>VLOOKUP($A62,[0]!Data,22,FALSE)</f>
        <v>1639097</v>
      </c>
      <c r="I62" s="358">
        <f>VLOOKUP($A62,[0]!Data,17,FALSE)</f>
        <v>6009</v>
      </c>
      <c r="J62" s="358">
        <f>VLOOKUP($A62,[0]!Data,19,FALSE)</f>
        <v>69</v>
      </c>
      <c r="K62" s="358">
        <f>VLOOKUP($A62,[0]!Data,21,FALSE)</f>
        <v>1335</v>
      </c>
      <c r="L62" s="358">
        <f>VLOOKUP($A62,[0]!Data,25,FALSE)</f>
        <v>0</v>
      </c>
      <c r="M62" s="358">
        <f>VLOOKUP($A62,[0]!Data,23,FALSE)</f>
        <v>134622</v>
      </c>
      <c r="N62" s="358">
        <f t="shared" si="0"/>
        <v>35132</v>
      </c>
      <c r="O62" s="358">
        <f t="shared" si="1"/>
        <v>2180</v>
      </c>
      <c r="P62" s="358">
        <f t="shared" si="2"/>
        <v>99051</v>
      </c>
      <c r="Q62" s="360">
        <f t="shared" si="3"/>
        <v>1773719</v>
      </c>
    </row>
    <row r="63" spans="1:17" x14ac:dyDescent="0.2">
      <c r="A63" s="40" t="str">
        <f>'[2]Table 13'!A64</f>
        <v>NC0101</v>
      </c>
      <c r="B63" s="41" t="str">
        <f>'[2]Table 13'!B64</f>
        <v>Warren</v>
      </c>
      <c r="C63" s="428" t="str">
        <f>VLOOKUP($A63,[0]!Data,15,FALSE)</f>
        <v>Yes</v>
      </c>
      <c r="D63" s="358">
        <f>VLOOKUP($A63,[0]!Data,16,FALSE)</f>
        <v>252</v>
      </c>
      <c r="E63" s="358">
        <f>VLOOKUP($A63,[0]!Data,18,FALSE)</f>
        <v>17</v>
      </c>
      <c r="F63" s="358">
        <f>VLOOKUP($A63,[0]!Data,20,FALSE)</f>
        <v>597</v>
      </c>
      <c r="G63" s="358">
        <f>VLOOKUP($A63,[0]!Data,24,FALSE)</f>
        <v>0</v>
      </c>
      <c r="H63" s="358">
        <f>VLOOKUP($A63,[0]!Data,22,FALSE)</f>
        <v>3924</v>
      </c>
      <c r="I63" s="358">
        <f>VLOOKUP($A63,[0]!Data,17,FALSE)</f>
        <v>53</v>
      </c>
      <c r="J63" s="358">
        <f>VLOOKUP($A63,[0]!Data,19,FALSE)</f>
        <v>8</v>
      </c>
      <c r="K63" s="358">
        <f>VLOOKUP($A63,[0]!Data,21,FALSE)</f>
        <v>157</v>
      </c>
      <c r="L63" s="358">
        <f>VLOOKUP($A63,[0]!Data,25,FALSE)</f>
        <v>0</v>
      </c>
      <c r="M63" s="358">
        <f>VLOOKUP($A63,[0]!Data,23,FALSE)</f>
        <v>0</v>
      </c>
      <c r="N63" s="358">
        <f t="shared" si="0"/>
        <v>305</v>
      </c>
      <c r="O63" s="358">
        <f t="shared" si="1"/>
        <v>25</v>
      </c>
      <c r="P63" s="358">
        <f t="shared" si="2"/>
        <v>754</v>
      </c>
      <c r="Q63" s="360">
        <f t="shared" si="3"/>
        <v>3924</v>
      </c>
    </row>
    <row r="64" spans="1:17" x14ac:dyDescent="0.2">
      <c r="A64" s="40" t="str">
        <f>'[2]Table 13'!A65</f>
        <v>NC0065</v>
      </c>
      <c r="B64" s="41" t="str">
        <f>'[2]Table 13'!B65</f>
        <v>Wayne</v>
      </c>
      <c r="C64" s="428" t="str">
        <f>VLOOKUP($A64,[0]!Data,15,FALSE)</f>
        <v>Yes</v>
      </c>
      <c r="D64" s="358">
        <f>VLOOKUP($A64,[0]!Data,16,FALSE)</f>
        <v>798</v>
      </c>
      <c r="E64" s="358">
        <f>VLOOKUP($A64,[0]!Data,18,FALSE)</f>
        <v>79</v>
      </c>
      <c r="F64" s="358">
        <f>VLOOKUP($A64,[0]!Data,20,FALSE)</f>
        <v>3146</v>
      </c>
      <c r="G64" s="358">
        <f>VLOOKUP($A64,[0]!Data,24,FALSE)</f>
        <v>177220</v>
      </c>
      <c r="H64" s="358">
        <f>VLOOKUP($A64,[0]!Data,22,FALSE)</f>
        <v>25327</v>
      </c>
      <c r="I64" s="358">
        <f>VLOOKUP($A64,[0]!Data,17,FALSE)</f>
        <v>60</v>
      </c>
      <c r="J64" s="358">
        <f>VLOOKUP($A64,[0]!Data,19,FALSE)</f>
        <v>22</v>
      </c>
      <c r="K64" s="358">
        <f>VLOOKUP($A64,[0]!Data,21,FALSE)</f>
        <v>503</v>
      </c>
      <c r="L64" s="358">
        <f>VLOOKUP($A64,[0]!Data,25,FALSE)</f>
        <v>0</v>
      </c>
      <c r="M64" s="358">
        <f>VLOOKUP($A64,[0]!Data,23,FALSE)</f>
        <v>3184</v>
      </c>
      <c r="N64" s="358">
        <f t="shared" si="0"/>
        <v>858</v>
      </c>
      <c r="O64" s="358">
        <f t="shared" si="1"/>
        <v>101</v>
      </c>
      <c r="P64" s="358">
        <f t="shared" si="2"/>
        <v>3649</v>
      </c>
      <c r="Q64" s="360">
        <f t="shared" si="3"/>
        <v>28511</v>
      </c>
    </row>
    <row r="65" spans="1:17" x14ac:dyDescent="0.2">
      <c r="A65" s="40" t="str">
        <f>'[2]Table 13'!A66</f>
        <v>NC0066</v>
      </c>
      <c r="B65" s="41" t="str">
        <f>'[2]Table 13'!B66</f>
        <v>Wilson</v>
      </c>
      <c r="C65" s="527" t="str">
        <f>VLOOKUP($A65,[0]!Data,15,FALSE)</f>
        <v>Yes</v>
      </c>
      <c r="D65" s="556">
        <f>VLOOKUP($A65,[0]!Data,16,FALSE)</f>
        <v>642</v>
      </c>
      <c r="E65" s="556">
        <f>VLOOKUP($A65,[0]!Data,18,FALSE)</f>
        <v>122</v>
      </c>
      <c r="F65" s="556">
        <f>VLOOKUP($A65,[0]!Data,20,FALSE)</f>
        <v>3420</v>
      </c>
      <c r="G65" s="556">
        <f>VLOOKUP($A65,[0]!Data,24,FALSE)</f>
        <v>0</v>
      </c>
      <c r="H65" s="556">
        <f>VLOOKUP($A65,[0]!Data,22,FALSE)</f>
        <v>28418</v>
      </c>
      <c r="I65" s="556">
        <f>VLOOKUP($A65,[0]!Data,17,FALSE)</f>
        <v>37</v>
      </c>
      <c r="J65" s="556">
        <f>VLOOKUP($A65,[0]!Data,19,FALSE)</f>
        <v>18</v>
      </c>
      <c r="K65" s="556">
        <f>VLOOKUP($A65,[0]!Data,21,FALSE)</f>
        <v>112</v>
      </c>
      <c r="L65" s="556">
        <f>VLOOKUP($A65,[0]!Data,25,FALSE)</f>
        <v>0</v>
      </c>
      <c r="M65" s="556">
        <f>VLOOKUP($A65,[0]!Data,23,FALSE)</f>
        <v>0</v>
      </c>
      <c r="N65" s="556">
        <f t="shared" si="0"/>
        <v>679</v>
      </c>
      <c r="O65" s="556">
        <f t="shared" si="1"/>
        <v>140</v>
      </c>
      <c r="P65" s="556">
        <f t="shared" si="2"/>
        <v>3532</v>
      </c>
      <c r="Q65" s="369">
        <f t="shared" si="3"/>
        <v>28418</v>
      </c>
    </row>
    <row r="66" spans="1:17" ht="13.5" thickBot="1" x14ac:dyDescent="0.25">
      <c r="A66" s="648" t="s">
        <v>2130</v>
      </c>
      <c r="B66" s="649"/>
      <c r="C66" s="554"/>
      <c r="D66" s="555">
        <f>SUM(D8:D65)</f>
        <v>104712</v>
      </c>
      <c r="E66" s="555">
        <f t="shared" ref="E66:Q66" si="4">SUM(E8:E65)</f>
        <v>14993</v>
      </c>
      <c r="F66" s="555">
        <f t="shared" si="4"/>
        <v>478053</v>
      </c>
      <c r="G66" s="555">
        <f>SUM(G8:G65)</f>
        <v>46062989</v>
      </c>
      <c r="H66" s="555">
        <f t="shared" si="4"/>
        <v>4673407</v>
      </c>
      <c r="I66" s="555">
        <f t="shared" si="4"/>
        <v>21354</v>
      </c>
      <c r="J66" s="555">
        <f t="shared" si="4"/>
        <v>2555</v>
      </c>
      <c r="K66" s="555">
        <f t="shared" si="4"/>
        <v>33768</v>
      </c>
      <c r="L66" s="555">
        <f>SUM(L8:L65)</f>
        <v>10472372</v>
      </c>
      <c r="M66" s="555">
        <f t="shared" si="4"/>
        <v>453468</v>
      </c>
      <c r="N66" s="555">
        <f t="shared" si="4"/>
        <v>126066</v>
      </c>
      <c r="O66" s="555">
        <f t="shared" si="4"/>
        <v>17548</v>
      </c>
      <c r="P66" s="555">
        <f t="shared" si="4"/>
        <v>511821</v>
      </c>
      <c r="Q66" s="81">
        <f t="shared" si="4"/>
        <v>5126875</v>
      </c>
    </row>
    <row r="67" spans="1:17" ht="14.25" thickTop="1" thickBot="1" x14ac:dyDescent="0.25">
      <c r="A67" s="650" t="s">
        <v>1866</v>
      </c>
      <c r="B67" s="651"/>
      <c r="C67" s="4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17" ht="13.5" thickTop="1" x14ac:dyDescent="0.2">
      <c r="A68" s="482" t="str">
        <f>'[2]Table 13'!A69</f>
        <v>NC0001</v>
      </c>
      <c r="B68" s="482" t="str">
        <f>'[2]Table 13'!B69</f>
        <v>Albemarle</v>
      </c>
      <c r="C68" s="428" t="str">
        <f>VLOOKUP($A68,[0]!Data,15,FALSE)</f>
        <v>Yes</v>
      </c>
      <c r="D68" s="358">
        <f>VLOOKUP($A68,[0]!Data,16,FALSE)</f>
        <v>851</v>
      </c>
      <c r="E68" s="358">
        <f>VLOOKUP($A68,[0]!Data,18,FALSE)</f>
        <v>90</v>
      </c>
      <c r="F68" s="358">
        <f>VLOOKUP($A68,[0]!Data,20,FALSE)</f>
        <v>2196</v>
      </c>
      <c r="G68" s="358">
        <f>VLOOKUP($A68,[0]!Data,24,FALSE)</f>
        <v>0</v>
      </c>
      <c r="H68" s="358">
        <f>VLOOKUP($A68,[0]!Data,22,FALSE)</f>
        <v>7018</v>
      </c>
      <c r="I68" s="358">
        <f>VLOOKUP($A68,[0]!Data,17,FALSE)</f>
        <v>10</v>
      </c>
      <c r="J68" s="358">
        <f>VLOOKUP($A68,[0]!Data,19,FALSE)</f>
        <v>0</v>
      </c>
      <c r="K68" s="358">
        <f>VLOOKUP($A68,[0]!Data,21,FALSE)</f>
        <v>65</v>
      </c>
      <c r="L68" s="358">
        <f>VLOOKUP($A68,[0]!Data,25,FALSE)</f>
        <v>0</v>
      </c>
      <c r="M68" s="358">
        <f>VLOOKUP($A68,[0]!Data,23,FALSE)</f>
        <v>1002</v>
      </c>
      <c r="N68" s="358">
        <f>SUM(D68,I68)</f>
        <v>861</v>
      </c>
      <c r="O68" s="358">
        <f>SUM(E68,J68)</f>
        <v>90</v>
      </c>
      <c r="P68" s="358">
        <f>SUM(F68,K68)</f>
        <v>2261</v>
      </c>
      <c r="Q68" s="360">
        <f>SUM(H68,M68)</f>
        <v>8020</v>
      </c>
    </row>
    <row r="69" spans="1:17" x14ac:dyDescent="0.2">
      <c r="A69" s="482" t="str">
        <f>'[2]Table 13'!A70</f>
        <v>NC0003</v>
      </c>
      <c r="B69" s="482" t="str">
        <f>'[2]Table 13'!B70</f>
        <v>AMY</v>
      </c>
      <c r="C69" s="428" t="str">
        <f>VLOOKUP($A69,[0]!Data,15,FALSE)</f>
        <v>Yes</v>
      </c>
      <c r="D69" s="358">
        <f>VLOOKUP($A69,[0]!Data,16,FALSE)</f>
        <v>0</v>
      </c>
      <c r="E69" s="358">
        <f>VLOOKUP($A69,[0]!Data,18,FALSE)</f>
        <v>22</v>
      </c>
      <c r="F69" s="358">
        <f>VLOOKUP($A69,[0]!Data,20,FALSE)</f>
        <v>516</v>
      </c>
      <c r="G69" s="358">
        <f>VLOOKUP($A69,[0]!Data,24,FALSE)</f>
        <v>0</v>
      </c>
      <c r="H69" s="358">
        <f>VLOOKUP($A69,[0]!Data,22,FALSE)</f>
        <v>9183</v>
      </c>
      <c r="I69" s="358">
        <f>VLOOKUP($A69,[0]!Data,17,FALSE)</f>
        <v>0</v>
      </c>
      <c r="J69" s="358">
        <f>VLOOKUP($A69,[0]!Data,19,FALSE)</f>
        <v>0</v>
      </c>
      <c r="K69" s="358">
        <f>VLOOKUP($A69,[0]!Data,21,FALSE)</f>
        <v>0</v>
      </c>
      <c r="L69" s="358">
        <f>VLOOKUP($A69,[0]!Data,25,FALSE)</f>
        <v>0</v>
      </c>
      <c r="M69" s="358">
        <f>VLOOKUP($A69,[0]!Data,23,FALSE)</f>
        <v>0</v>
      </c>
      <c r="N69" s="358">
        <f t="shared" ref="N69:N79" si="5">SUM(D69,I69)</f>
        <v>0</v>
      </c>
      <c r="O69" s="358">
        <f t="shared" ref="O69:O79" si="6">SUM(E69,J69)</f>
        <v>22</v>
      </c>
      <c r="P69" s="358">
        <f t="shared" ref="P69:P79" si="7">SUM(F69,K69)</f>
        <v>516</v>
      </c>
      <c r="Q69" s="360">
        <f t="shared" ref="Q69:Q79" si="8">SUM(H69,M69)</f>
        <v>9183</v>
      </c>
    </row>
    <row r="70" spans="1:17" x14ac:dyDescent="0.2">
      <c r="A70" s="482" t="str">
        <f>'[2]Table 13'!A71</f>
        <v>NC0002</v>
      </c>
      <c r="B70" s="482" t="str">
        <f>'[2]Table 13'!B71</f>
        <v>Appalachian</v>
      </c>
      <c r="C70" s="428" t="str">
        <f>VLOOKUP($A70,[0]!Data,15,FALSE)</f>
        <v>Yes</v>
      </c>
      <c r="D70" s="358">
        <f>VLOOKUP($A70,[0]!Data,16,FALSE)</f>
        <v>1625</v>
      </c>
      <c r="E70" s="358">
        <f>VLOOKUP($A70,[0]!Data,18,FALSE)</f>
        <v>448</v>
      </c>
      <c r="F70" s="358">
        <f>VLOOKUP($A70,[0]!Data,20,FALSE)</f>
        <v>12515</v>
      </c>
      <c r="G70" s="358">
        <f>VLOOKUP($A70,[0]!Data,24,FALSE)</f>
        <v>473580</v>
      </c>
      <c r="H70" s="358">
        <f>VLOOKUP($A70,[0]!Data,22,FALSE)</f>
        <v>72630</v>
      </c>
      <c r="I70" s="358">
        <f>VLOOKUP($A70,[0]!Data,17,FALSE)</f>
        <v>289</v>
      </c>
      <c r="J70" s="358">
        <f>VLOOKUP($A70,[0]!Data,19,FALSE)</f>
        <v>37</v>
      </c>
      <c r="K70" s="358">
        <f>VLOOKUP($A70,[0]!Data,21,FALSE)</f>
        <v>394</v>
      </c>
      <c r="L70" s="358">
        <f>VLOOKUP($A70,[0]!Data,25,FALSE)</f>
        <v>340810</v>
      </c>
      <c r="M70" s="358">
        <f>VLOOKUP($A70,[0]!Data,23,FALSE)</f>
        <v>7973</v>
      </c>
      <c r="N70" s="358">
        <f t="shared" si="5"/>
        <v>1914</v>
      </c>
      <c r="O70" s="358">
        <f t="shared" si="6"/>
        <v>485</v>
      </c>
      <c r="P70" s="358">
        <f t="shared" si="7"/>
        <v>12909</v>
      </c>
      <c r="Q70" s="360">
        <f t="shared" si="8"/>
        <v>80603</v>
      </c>
    </row>
    <row r="71" spans="1:17" x14ac:dyDescent="0.2">
      <c r="A71" s="482" t="str">
        <f>'[2]Table 13'!A72</f>
        <v>NC0004</v>
      </c>
      <c r="B71" s="482" t="str">
        <f>'[2]Table 13'!B72</f>
        <v>BHM</v>
      </c>
      <c r="C71" s="428" t="str">
        <f>VLOOKUP($A71,[0]!Data,15,FALSE)</f>
        <v>Yes</v>
      </c>
      <c r="D71" s="358">
        <f>VLOOKUP($A71,[0]!Data,16,FALSE)</f>
        <v>463</v>
      </c>
      <c r="E71" s="358">
        <f>VLOOKUP($A71,[0]!Data,18,FALSE)</f>
        <v>111</v>
      </c>
      <c r="F71" s="358">
        <f>VLOOKUP($A71,[0]!Data,20,FALSE)</f>
        <v>2357</v>
      </c>
      <c r="G71" s="358">
        <f>VLOOKUP($A71,[0]!Data,24,FALSE)</f>
        <v>222547</v>
      </c>
      <c r="H71" s="358">
        <f>VLOOKUP($A71,[0]!Data,22,FALSE)</f>
        <v>6859</v>
      </c>
      <c r="I71" s="358">
        <f>VLOOKUP($A71,[0]!Data,17,FALSE)</f>
        <v>30</v>
      </c>
      <c r="J71" s="358">
        <f>VLOOKUP($A71,[0]!Data,19,FALSE)</f>
        <v>7</v>
      </c>
      <c r="K71" s="358">
        <f>VLOOKUP($A71,[0]!Data,21,FALSE)</f>
        <v>25</v>
      </c>
      <c r="L71" s="358">
        <f>VLOOKUP($A71,[0]!Data,25,FALSE)</f>
        <v>20820</v>
      </c>
      <c r="M71" s="358">
        <f>VLOOKUP($A71,[0]!Data,23,FALSE)</f>
        <v>592</v>
      </c>
      <c r="N71" s="358">
        <f t="shared" si="5"/>
        <v>493</v>
      </c>
      <c r="O71" s="358">
        <f t="shared" si="6"/>
        <v>118</v>
      </c>
      <c r="P71" s="358">
        <f t="shared" si="7"/>
        <v>2382</v>
      </c>
      <c r="Q71" s="360">
        <f t="shared" si="8"/>
        <v>7451</v>
      </c>
    </row>
    <row r="72" spans="1:17" x14ac:dyDescent="0.2">
      <c r="A72" s="482" t="str">
        <f>'[2]Table 13'!A73</f>
        <v>NC0006</v>
      </c>
      <c r="B72" s="482" t="str">
        <f>'[2]Table 13'!B73</f>
        <v>CPC</v>
      </c>
      <c r="C72" s="428" t="str">
        <f>VLOOKUP($A72,[0]!Data,15,FALSE)</f>
        <v>Yes</v>
      </c>
      <c r="D72" s="358">
        <f>VLOOKUP($A72,[0]!Data,16,FALSE)</f>
        <v>2364</v>
      </c>
      <c r="E72" s="358">
        <f>VLOOKUP($A72,[0]!Data,18,FALSE)</f>
        <v>247</v>
      </c>
      <c r="F72" s="358">
        <f>VLOOKUP($A72,[0]!Data,20,FALSE)</f>
        <v>8647</v>
      </c>
      <c r="G72" s="358">
        <f>VLOOKUP($A72,[0]!Data,24,FALSE)</f>
        <v>1352995</v>
      </c>
      <c r="H72" s="358">
        <f>VLOOKUP($A72,[0]!Data,22,FALSE)</f>
        <v>63910</v>
      </c>
      <c r="I72" s="358">
        <f>VLOOKUP($A72,[0]!Data,17,FALSE)</f>
        <v>240</v>
      </c>
      <c r="J72" s="358">
        <f>VLOOKUP($A72,[0]!Data,19,FALSE)</f>
        <v>81</v>
      </c>
      <c r="K72" s="358">
        <f>VLOOKUP($A72,[0]!Data,21,FALSE)</f>
        <v>612</v>
      </c>
      <c r="L72" s="358">
        <f>VLOOKUP($A72,[0]!Data,25,FALSE)</f>
        <v>272588</v>
      </c>
      <c r="M72" s="358">
        <f>VLOOKUP($A72,[0]!Data,23,FALSE)</f>
        <v>7523</v>
      </c>
      <c r="N72" s="358">
        <f t="shared" si="5"/>
        <v>2604</v>
      </c>
      <c r="O72" s="358">
        <f t="shared" si="6"/>
        <v>328</v>
      </c>
      <c r="P72" s="358">
        <f t="shared" si="7"/>
        <v>9259</v>
      </c>
      <c r="Q72" s="360">
        <f t="shared" si="8"/>
        <v>71433</v>
      </c>
    </row>
    <row r="73" spans="1:17" x14ac:dyDescent="0.2">
      <c r="A73" s="482" t="str">
        <f>'[2]Table 13'!A74</f>
        <v>NC0007</v>
      </c>
      <c r="B73" s="482" t="str">
        <f>'[2]Table 13'!B74</f>
        <v>E. Albemarle</v>
      </c>
      <c r="C73" s="428" t="str">
        <f>VLOOKUP($A73,[0]!Data,15,FALSE)</f>
        <v>Yes</v>
      </c>
      <c r="D73" s="358">
        <f>VLOOKUP($A73,[0]!Data,16,FALSE)</f>
        <v>726</v>
      </c>
      <c r="E73" s="358">
        <f>VLOOKUP($A73,[0]!Data,18,FALSE)</f>
        <v>112</v>
      </c>
      <c r="F73" s="358">
        <f>VLOOKUP($A73,[0]!Data,20,FALSE)</f>
        <v>4385</v>
      </c>
      <c r="G73" s="358">
        <f>VLOOKUP($A73,[0]!Data,24,FALSE)</f>
        <v>115201</v>
      </c>
      <c r="H73" s="358">
        <f>VLOOKUP($A73,[0]!Data,22,FALSE)</f>
        <v>44642</v>
      </c>
      <c r="I73" s="358">
        <f>VLOOKUP($A73,[0]!Data,17,FALSE)</f>
        <v>87</v>
      </c>
      <c r="J73" s="358">
        <f>VLOOKUP($A73,[0]!Data,19,FALSE)</f>
        <v>12</v>
      </c>
      <c r="K73" s="358">
        <f>VLOOKUP($A73,[0]!Data,21,FALSE)</f>
        <v>194</v>
      </c>
      <c r="L73" s="358">
        <f>VLOOKUP($A73,[0]!Data,25,FALSE)</f>
        <v>10140</v>
      </c>
      <c r="M73" s="358">
        <f>VLOOKUP($A73,[0]!Data,23,FALSE)</f>
        <v>3255</v>
      </c>
      <c r="N73" s="358">
        <f t="shared" si="5"/>
        <v>813</v>
      </c>
      <c r="O73" s="358">
        <f t="shared" si="6"/>
        <v>124</v>
      </c>
      <c r="P73" s="358">
        <f t="shared" si="7"/>
        <v>4579</v>
      </c>
      <c r="Q73" s="360">
        <f t="shared" si="8"/>
        <v>47897</v>
      </c>
    </row>
    <row r="74" spans="1:17" x14ac:dyDescent="0.2">
      <c r="A74" s="482" t="str">
        <f>'[2]Table 13'!A75</f>
        <v>NC0008</v>
      </c>
      <c r="B74" s="482" t="str">
        <f>'[2]Table 13'!B75</f>
        <v>Fontana</v>
      </c>
      <c r="C74" s="428" t="str">
        <f>VLOOKUP($A74,[0]!Data,15,FALSE)</f>
        <v>Yes</v>
      </c>
      <c r="D74" s="358">
        <f>VLOOKUP($A74,[0]!Data,16,FALSE)</f>
        <v>1871</v>
      </c>
      <c r="E74" s="358">
        <f>VLOOKUP($A74,[0]!Data,18,FALSE)</f>
        <v>341</v>
      </c>
      <c r="F74" s="358">
        <f>VLOOKUP($A74,[0]!Data,20,FALSE)</f>
        <v>11241</v>
      </c>
      <c r="G74" s="358">
        <f>VLOOKUP($A74,[0]!Data,24,FALSE)</f>
        <v>911405</v>
      </c>
      <c r="H74" s="358">
        <f>VLOOKUP($A74,[0]!Data,22,FALSE)</f>
        <v>34416</v>
      </c>
      <c r="I74" s="358">
        <f>VLOOKUP($A74,[0]!Data,17,FALSE)</f>
        <v>155</v>
      </c>
      <c r="J74" s="358">
        <f>VLOOKUP($A74,[0]!Data,19,FALSE)</f>
        <v>38</v>
      </c>
      <c r="K74" s="358">
        <f>VLOOKUP($A74,[0]!Data,21,FALSE)</f>
        <v>1289</v>
      </c>
      <c r="L74" s="358">
        <f>VLOOKUP($A74,[0]!Data,25,FALSE)</f>
        <v>281132</v>
      </c>
      <c r="M74" s="358">
        <f>VLOOKUP($A74,[0]!Data,23,FALSE)</f>
        <v>3254</v>
      </c>
      <c r="N74" s="358">
        <f t="shared" si="5"/>
        <v>2026</v>
      </c>
      <c r="O74" s="358">
        <f t="shared" si="6"/>
        <v>379</v>
      </c>
      <c r="P74" s="358">
        <f t="shared" si="7"/>
        <v>12530</v>
      </c>
      <c r="Q74" s="360">
        <f t="shared" si="8"/>
        <v>37670</v>
      </c>
    </row>
    <row r="75" spans="1:17" x14ac:dyDescent="0.2">
      <c r="A75" s="482" t="str">
        <f>'[2]Table 13'!A76</f>
        <v>NC0011</v>
      </c>
      <c r="B75" s="482" t="str">
        <f>'[2]Table 13'!B76</f>
        <v>Nantahala</v>
      </c>
      <c r="C75" s="428" t="str">
        <f>VLOOKUP($A75,[0]!Data,15,FALSE)</f>
        <v>Yes</v>
      </c>
      <c r="D75" s="358">
        <f>VLOOKUP($A75,[0]!Data,16,FALSE)</f>
        <v>257</v>
      </c>
      <c r="E75" s="358">
        <f>VLOOKUP($A75,[0]!Data,18,FALSE)</f>
        <v>86</v>
      </c>
      <c r="F75" s="358">
        <f>VLOOKUP($A75,[0]!Data,20,FALSE)</f>
        <v>2424</v>
      </c>
      <c r="G75" s="358">
        <f>VLOOKUP($A75,[0]!Data,24,FALSE)</f>
        <v>349520</v>
      </c>
      <c r="H75" s="358">
        <f>VLOOKUP($A75,[0]!Data,22,FALSE)</f>
        <v>12599</v>
      </c>
      <c r="I75" s="358">
        <f>VLOOKUP($A75,[0]!Data,17,FALSE)</f>
        <v>52</v>
      </c>
      <c r="J75" s="358">
        <f>VLOOKUP($A75,[0]!Data,19,FALSE)</f>
        <v>9</v>
      </c>
      <c r="K75" s="358">
        <f>VLOOKUP($A75,[0]!Data,21,FALSE)</f>
        <v>69</v>
      </c>
      <c r="L75" s="358">
        <f>VLOOKUP($A75,[0]!Data,25,FALSE)</f>
        <v>136320</v>
      </c>
      <c r="M75" s="358">
        <f>VLOOKUP($A75,[0]!Data,23,FALSE)</f>
        <v>1753</v>
      </c>
      <c r="N75" s="358">
        <f t="shared" si="5"/>
        <v>309</v>
      </c>
      <c r="O75" s="358">
        <f t="shared" si="6"/>
        <v>95</v>
      </c>
      <c r="P75" s="358">
        <f t="shared" si="7"/>
        <v>2493</v>
      </c>
      <c r="Q75" s="360">
        <f t="shared" si="8"/>
        <v>14352</v>
      </c>
    </row>
    <row r="76" spans="1:17" x14ac:dyDescent="0.2">
      <c r="A76" s="482" t="str">
        <f>'[2]Table 13'!A77</f>
        <v>NC0012</v>
      </c>
      <c r="B76" s="482" t="str">
        <f>'[2]Table 13'!B77</f>
        <v>Neuse</v>
      </c>
      <c r="C76" s="428" t="str">
        <f>VLOOKUP($A76,[0]!Data,15,FALSE)</f>
        <v>Yes</v>
      </c>
      <c r="D76" s="358">
        <f>VLOOKUP($A76,[0]!Data,16,FALSE)</f>
        <v>661</v>
      </c>
      <c r="E76" s="358">
        <f>VLOOKUP($A76,[0]!Data,18,FALSE)</f>
        <v>125</v>
      </c>
      <c r="F76" s="358">
        <f>VLOOKUP($A76,[0]!Data,20,FALSE)</f>
        <v>2849</v>
      </c>
      <c r="G76" s="358">
        <f>VLOOKUP($A76,[0]!Data,24,FALSE)</f>
        <v>247650</v>
      </c>
      <c r="H76" s="358">
        <f>VLOOKUP($A76,[0]!Data,22,FALSE)</f>
        <v>13192</v>
      </c>
      <c r="I76" s="358">
        <f>VLOOKUP($A76,[0]!Data,17,FALSE)</f>
        <v>10</v>
      </c>
      <c r="J76" s="358">
        <f>VLOOKUP($A76,[0]!Data,19,FALSE)</f>
        <v>6</v>
      </c>
      <c r="K76" s="358">
        <f>VLOOKUP($A76,[0]!Data,21,FALSE)</f>
        <v>93</v>
      </c>
      <c r="L76" s="358">
        <f>VLOOKUP($A76,[0]!Data,25,FALSE)</f>
        <v>115000</v>
      </c>
      <c r="M76" s="358">
        <f>VLOOKUP($A76,[0]!Data,23,FALSE)</f>
        <v>2894</v>
      </c>
      <c r="N76" s="358">
        <f t="shared" si="5"/>
        <v>671</v>
      </c>
      <c r="O76" s="358">
        <f t="shared" si="6"/>
        <v>131</v>
      </c>
      <c r="P76" s="358">
        <f t="shared" si="7"/>
        <v>2942</v>
      </c>
      <c r="Q76" s="360">
        <f t="shared" si="8"/>
        <v>16086</v>
      </c>
    </row>
    <row r="77" spans="1:17" x14ac:dyDescent="0.2">
      <c r="A77" s="482" t="str">
        <f>'[2]Table 13'!A78</f>
        <v>NC0013</v>
      </c>
      <c r="B77" s="482" t="str">
        <f>'[2]Table 13'!B78</f>
        <v>Northwestern</v>
      </c>
      <c r="C77" s="428" t="str">
        <f>VLOOKUP($A77,[0]!Data,15,FALSE)</f>
        <v>Yes</v>
      </c>
      <c r="D77" s="358">
        <f>VLOOKUP($A77,[0]!Data,16,FALSE)</f>
        <v>2987</v>
      </c>
      <c r="E77" s="358">
        <f>VLOOKUP($A77,[0]!Data,18,FALSE)</f>
        <v>346</v>
      </c>
      <c r="F77" s="358">
        <f>VLOOKUP($A77,[0]!Data,20,FALSE)</f>
        <v>13282</v>
      </c>
      <c r="G77" s="358">
        <f>VLOOKUP($A77,[0]!Data,24,FALSE)</f>
        <v>420864</v>
      </c>
      <c r="H77" s="358">
        <f>VLOOKUP($A77,[0]!Data,22,FALSE)</f>
        <v>50523</v>
      </c>
      <c r="I77" s="358">
        <f>VLOOKUP($A77,[0]!Data,17,FALSE)</f>
        <v>355</v>
      </c>
      <c r="J77" s="358">
        <f>VLOOKUP($A77,[0]!Data,19,FALSE)</f>
        <v>99</v>
      </c>
      <c r="K77" s="358">
        <f>VLOOKUP($A77,[0]!Data,21,FALSE)</f>
        <v>1413</v>
      </c>
      <c r="L77" s="358">
        <f>VLOOKUP($A77,[0]!Data,25,FALSE)</f>
        <v>193474</v>
      </c>
      <c r="M77" s="358">
        <f>VLOOKUP($A77,[0]!Data,23,FALSE)</f>
        <v>4365</v>
      </c>
      <c r="N77" s="358">
        <f t="shared" si="5"/>
        <v>3342</v>
      </c>
      <c r="O77" s="358">
        <f t="shared" si="6"/>
        <v>445</v>
      </c>
      <c r="P77" s="358">
        <f t="shared" si="7"/>
        <v>14695</v>
      </c>
      <c r="Q77" s="360">
        <f t="shared" si="8"/>
        <v>54888</v>
      </c>
    </row>
    <row r="78" spans="1:17" x14ac:dyDescent="0.2">
      <c r="A78" s="482" t="str">
        <f>'[2]Table 13'!A79</f>
        <v>NC0014</v>
      </c>
      <c r="B78" s="482" t="str">
        <f>'[2]Table 13'!B79</f>
        <v>Pettigrew</v>
      </c>
      <c r="C78" s="428" t="str">
        <f>VLOOKUP($A78,[0]!Data,15,FALSE)</f>
        <v>Yes</v>
      </c>
      <c r="D78" s="358">
        <f>VLOOKUP($A78,[0]!Data,16,FALSE)</f>
        <v>251</v>
      </c>
      <c r="E78" s="358">
        <f>VLOOKUP($A78,[0]!Data,18,FALSE)</f>
        <v>74</v>
      </c>
      <c r="F78" s="358">
        <f>VLOOKUP($A78,[0]!Data,20,FALSE)</f>
        <v>1981</v>
      </c>
      <c r="G78" s="358">
        <f>VLOOKUP($A78,[0]!Data,24,FALSE)</f>
        <v>2207</v>
      </c>
      <c r="H78" s="358">
        <f>VLOOKUP($A78,[0]!Data,22,FALSE)</f>
        <v>6551</v>
      </c>
      <c r="I78" s="358">
        <f>VLOOKUP($A78,[0]!Data,17,FALSE)</f>
        <v>47</v>
      </c>
      <c r="J78" s="358">
        <f>VLOOKUP($A78,[0]!Data,19,FALSE)</f>
        <v>39</v>
      </c>
      <c r="K78" s="358">
        <f>VLOOKUP($A78,[0]!Data,21,FALSE)</f>
        <v>479</v>
      </c>
      <c r="L78" s="358">
        <f>VLOOKUP($A78,[0]!Data,25,FALSE)</f>
        <v>12655</v>
      </c>
      <c r="M78" s="358">
        <f>VLOOKUP($A78,[0]!Data,23,FALSE)</f>
        <v>234</v>
      </c>
      <c r="N78" s="358">
        <f t="shared" si="5"/>
        <v>298</v>
      </c>
      <c r="O78" s="358">
        <f t="shared" si="6"/>
        <v>113</v>
      </c>
      <c r="P78" s="358">
        <f t="shared" si="7"/>
        <v>2460</v>
      </c>
      <c r="Q78" s="360">
        <f t="shared" si="8"/>
        <v>6785</v>
      </c>
    </row>
    <row r="79" spans="1:17" x14ac:dyDescent="0.2">
      <c r="A79" s="482" t="str">
        <f>'[2]Table 13'!A80</f>
        <v>NC0015</v>
      </c>
      <c r="B79" s="482" t="str">
        <f>'[2]Table 13'!B80</f>
        <v>Sandhill</v>
      </c>
      <c r="C79" s="428" t="str">
        <f>VLOOKUP($A79,[0]!Data,15,FALSE)</f>
        <v>Yes</v>
      </c>
      <c r="D79" s="358">
        <f>VLOOKUP($A79,[0]!Data,16,FALSE)</f>
        <v>1158</v>
      </c>
      <c r="E79" s="358">
        <f>VLOOKUP($A79,[0]!Data,18,FALSE)</f>
        <v>125</v>
      </c>
      <c r="F79" s="358">
        <f>VLOOKUP($A79,[0]!Data,20,FALSE)</f>
        <v>16024</v>
      </c>
      <c r="G79" s="358">
        <f>VLOOKUP($A79,[0]!Data,24,FALSE)</f>
        <v>455667</v>
      </c>
      <c r="H79" s="358">
        <f>VLOOKUP($A79,[0]!Data,22,FALSE)</f>
        <v>40371</v>
      </c>
      <c r="I79" s="358">
        <f>VLOOKUP($A79,[0]!Data,17,FALSE)</f>
        <v>215</v>
      </c>
      <c r="J79" s="358">
        <f>VLOOKUP($A79,[0]!Data,19,FALSE)</f>
        <v>26</v>
      </c>
      <c r="K79" s="358">
        <f>VLOOKUP($A79,[0]!Data,21,FALSE)</f>
        <v>301</v>
      </c>
      <c r="L79" s="358">
        <f>VLOOKUP($A79,[0]!Data,25,FALSE)</f>
        <v>77984</v>
      </c>
      <c r="M79" s="358">
        <f>VLOOKUP($A79,[0]!Data,23,FALSE)</f>
        <v>5547</v>
      </c>
      <c r="N79" s="358">
        <f t="shared" si="5"/>
        <v>1373</v>
      </c>
      <c r="O79" s="358">
        <f t="shared" si="6"/>
        <v>151</v>
      </c>
      <c r="P79" s="358">
        <f t="shared" si="7"/>
        <v>16325</v>
      </c>
      <c r="Q79" s="360">
        <f t="shared" si="8"/>
        <v>45918</v>
      </c>
    </row>
    <row r="80" spans="1:17" ht="13.5" thickBot="1" x14ac:dyDescent="0.25">
      <c r="A80" s="648" t="s">
        <v>2130</v>
      </c>
      <c r="B80" s="649"/>
      <c r="C80" s="231"/>
      <c r="D80" s="361">
        <f>SUM(D68:D79)</f>
        <v>13214</v>
      </c>
      <c r="E80" s="361">
        <f t="shared" ref="E80:Q80" si="9">SUM(E68:E79)</f>
        <v>2127</v>
      </c>
      <c r="F80" s="361">
        <f t="shared" si="9"/>
        <v>78417</v>
      </c>
      <c r="G80" s="361">
        <f>SUM(G68:G79)</f>
        <v>4551636</v>
      </c>
      <c r="H80" s="361">
        <f t="shared" si="9"/>
        <v>361894</v>
      </c>
      <c r="I80" s="361">
        <f t="shared" si="9"/>
        <v>1490</v>
      </c>
      <c r="J80" s="361">
        <f t="shared" si="9"/>
        <v>354</v>
      </c>
      <c r="K80" s="361">
        <f t="shared" si="9"/>
        <v>4934</v>
      </c>
      <c r="L80" s="361">
        <f>SUM(L68:L79)</f>
        <v>1460923</v>
      </c>
      <c r="M80" s="361">
        <f t="shared" si="9"/>
        <v>38392</v>
      </c>
      <c r="N80" s="361">
        <f t="shared" si="9"/>
        <v>14704</v>
      </c>
      <c r="O80" s="361">
        <f t="shared" si="9"/>
        <v>2481</v>
      </c>
      <c r="P80" s="361">
        <f t="shared" si="9"/>
        <v>83351</v>
      </c>
      <c r="Q80" s="48">
        <f t="shared" si="9"/>
        <v>400286</v>
      </c>
    </row>
    <row r="81" spans="1:17" ht="14.25" thickTop="1" thickBot="1" x14ac:dyDescent="0.25">
      <c r="A81" s="58"/>
      <c r="B81" s="49" t="s">
        <v>1867</v>
      </c>
      <c r="C81" s="49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17" ht="13.5" thickTop="1" x14ac:dyDescent="0.2">
      <c r="A82" s="55" t="s">
        <v>897</v>
      </c>
      <c r="B82" s="40" t="str">
        <f>'[2]Table 13'!B83</f>
        <v>Chapel Hill</v>
      </c>
      <c r="C82" s="428" t="str">
        <f>VLOOKUP($A82,[0]!Data,15,FALSE)</f>
        <v>Yes</v>
      </c>
      <c r="D82" s="358">
        <f>VLOOKUP($A82,[0]!Data,16,FALSE)</f>
        <v>2445</v>
      </c>
      <c r="E82" s="358">
        <f>VLOOKUP($A82,[0]!Data,18,FALSE)</f>
        <v>162</v>
      </c>
      <c r="F82" s="358">
        <f>VLOOKUP($A82,[0]!Data,20,FALSE)</f>
        <v>10108</v>
      </c>
      <c r="G82" s="358">
        <f>VLOOKUP($A82,[0]!Data,24,FALSE)</f>
        <v>1843646</v>
      </c>
      <c r="H82" s="358">
        <f>VLOOKUP($A82,[0]!Data,22,FALSE)</f>
        <v>179281</v>
      </c>
      <c r="I82" s="358">
        <f>VLOOKUP($A82,[0]!Data,17,FALSE)</f>
        <v>549</v>
      </c>
      <c r="J82" s="358">
        <f>VLOOKUP($A82,[0]!Data,19,FALSE)</f>
        <v>36</v>
      </c>
      <c r="K82" s="358">
        <f>VLOOKUP($A82,[0]!Data,21,FALSE)</f>
        <v>216</v>
      </c>
      <c r="L82" s="358">
        <f>VLOOKUP($A82,[0]!Data,25,FALSE)</f>
        <v>413972</v>
      </c>
      <c r="M82" s="358">
        <f>VLOOKUP($A82,[0]!Data,23,FALSE)</f>
        <v>13710</v>
      </c>
      <c r="N82" s="358">
        <f>SUM(D82,I82)</f>
        <v>2994</v>
      </c>
      <c r="O82" s="358">
        <f>SUM(E82,J82)</f>
        <v>198</v>
      </c>
      <c r="P82" s="358">
        <f>SUM(F82,K82)</f>
        <v>10324</v>
      </c>
      <c r="Q82" s="360">
        <f>SUM(H82,M82)</f>
        <v>192991</v>
      </c>
    </row>
    <row r="83" spans="1:17" x14ac:dyDescent="0.2">
      <c r="A83" s="55" t="s">
        <v>1312</v>
      </c>
      <c r="B83" s="40" t="str">
        <f>'[2]Table 13'!B84</f>
        <v>Clayton</v>
      </c>
      <c r="C83" s="428" t="str">
        <f>VLOOKUP($A83,[0]!Data,15,FALSE)</f>
        <v>Yes</v>
      </c>
      <c r="D83" s="358">
        <f>VLOOKUP($A83,[0]!Data,16,FALSE)</f>
        <v>0</v>
      </c>
      <c r="E83" s="358">
        <f>VLOOKUP($A83,[0]!Data,18,FALSE)</f>
        <v>25</v>
      </c>
      <c r="F83" s="358">
        <f>VLOOKUP($A83,[0]!Data,20,FALSE)</f>
        <v>918</v>
      </c>
      <c r="G83" s="358">
        <f>VLOOKUP($A83,[0]!Data,24,FALSE)</f>
        <v>24000</v>
      </c>
      <c r="H83" s="358">
        <f>VLOOKUP($A83,[0]!Data,22,FALSE)</f>
        <v>33768</v>
      </c>
      <c r="I83" s="358">
        <f>VLOOKUP($A83,[0]!Data,17,FALSE)</f>
        <v>0</v>
      </c>
      <c r="J83" s="358">
        <f>VLOOKUP($A83,[0]!Data,19,FALSE)</f>
        <v>11</v>
      </c>
      <c r="K83" s="358">
        <f>VLOOKUP($A83,[0]!Data,21,FALSE)</f>
        <v>375</v>
      </c>
      <c r="L83" s="358">
        <f>VLOOKUP($A83,[0]!Data,25,FALSE)</f>
        <v>0</v>
      </c>
      <c r="M83" s="358">
        <f>VLOOKUP($A83,[0]!Data,23,FALSE)</f>
        <v>2609</v>
      </c>
      <c r="N83" s="358">
        <f t="shared" ref="N83:N92" si="10">SUM(D83,I83)</f>
        <v>0</v>
      </c>
      <c r="O83" s="358">
        <f t="shared" ref="O83:O92" si="11">SUM(E83,J83)</f>
        <v>36</v>
      </c>
      <c r="P83" s="358">
        <f t="shared" ref="P83:P92" si="12">SUM(F83,K83)</f>
        <v>1293</v>
      </c>
      <c r="Q83" s="360">
        <f t="shared" ref="Q83:Q92" si="13">SUM(H83,M83)</f>
        <v>36377</v>
      </c>
    </row>
    <row r="84" spans="1:17" x14ac:dyDescent="0.2">
      <c r="A84" s="55" t="s">
        <v>1100</v>
      </c>
      <c r="B84" s="40" t="str">
        <f>'[2]Table 13'!B85</f>
        <v>Farmville</v>
      </c>
      <c r="C84" s="428" t="str">
        <f>VLOOKUP($A84,[0]!Data,15,FALSE)</f>
        <v>Yes</v>
      </c>
      <c r="D84" s="358">
        <f>VLOOKUP($A84,[0]!Data,16,FALSE)</f>
        <v>94</v>
      </c>
      <c r="E84" s="358">
        <f>VLOOKUP($A84,[0]!Data,18,FALSE)</f>
        <v>55</v>
      </c>
      <c r="F84" s="358">
        <f>VLOOKUP($A84,[0]!Data,20,FALSE)</f>
        <v>783</v>
      </c>
      <c r="G84" s="358">
        <f>VLOOKUP($A84,[0]!Data,24,FALSE)</f>
        <v>0</v>
      </c>
      <c r="H84" s="358">
        <f>VLOOKUP($A84,[0]!Data,22,FALSE)</f>
        <v>1822</v>
      </c>
      <c r="I84" s="358">
        <f>VLOOKUP($A84,[0]!Data,17,FALSE)</f>
        <v>8</v>
      </c>
      <c r="J84" s="358">
        <f>VLOOKUP($A84,[0]!Data,19,FALSE)</f>
        <v>5</v>
      </c>
      <c r="K84" s="358">
        <f>VLOOKUP($A84,[0]!Data,21,FALSE)</f>
        <v>25</v>
      </c>
      <c r="L84" s="358">
        <f>VLOOKUP($A84,[0]!Data,25,FALSE)</f>
        <v>0</v>
      </c>
      <c r="M84" s="358">
        <f>VLOOKUP($A84,[0]!Data,23,FALSE)</f>
        <v>332</v>
      </c>
      <c r="N84" s="358">
        <f t="shared" si="10"/>
        <v>102</v>
      </c>
      <c r="O84" s="358">
        <f t="shared" si="11"/>
        <v>60</v>
      </c>
      <c r="P84" s="358">
        <f t="shared" si="12"/>
        <v>808</v>
      </c>
      <c r="Q84" s="360">
        <f t="shared" si="13"/>
        <v>2154</v>
      </c>
    </row>
    <row r="85" spans="1:17" x14ac:dyDescent="0.2">
      <c r="A85" s="55" t="s">
        <v>1281</v>
      </c>
      <c r="B85" s="40" t="str">
        <f>'[2]Table 13'!B86</f>
        <v>Hickory</v>
      </c>
      <c r="C85" s="428" t="str">
        <f>VLOOKUP($A85,[0]!Data,15,FALSE)</f>
        <v>Yes</v>
      </c>
      <c r="D85" s="358">
        <f>VLOOKUP($A85,[0]!Data,16,FALSE)</f>
        <v>1066</v>
      </c>
      <c r="E85" s="358">
        <f>VLOOKUP($A85,[0]!Data,18,FALSE)</f>
        <v>117</v>
      </c>
      <c r="F85" s="358">
        <f>VLOOKUP($A85,[0]!Data,20,FALSE)</f>
        <v>5795</v>
      </c>
      <c r="G85" s="358">
        <f>VLOOKUP($A85,[0]!Data,24,FALSE)</f>
        <v>0</v>
      </c>
      <c r="H85" s="358">
        <f>VLOOKUP($A85,[0]!Data,22,FALSE)</f>
        <v>30787</v>
      </c>
      <c r="I85" s="358">
        <f>VLOOKUP($A85,[0]!Data,17,FALSE)</f>
        <v>298</v>
      </c>
      <c r="J85" s="358">
        <f>VLOOKUP($A85,[0]!Data,19,FALSE)</f>
        <v>6</v>
      </c>
      <c r="K85" s="358">
        <f>VLOOKUP($A85,[0]!Data,21,FALSE)</f>
        <v>85</v>
      </c>
      <c r="L85" s="358">
        <f>VLOOKUP($A85,[0]!Data,25,FALSE)</f>
        <v>0</v>
      </c>
      <c r="M85" s="358">
        <f>VLOOKUP($A85,[0]!Data,23,FALSE)</f>
        <v>3377</v>
      </c>
      <c r="N85" s="358">
        <f t="shared" si="10"/>
        <v>1364</v>
      </c>
      <c r="O85" s="358">
        <f t="shared" si="11"/>
        <v>123</v>
      </c>
      <c r="P85" s="358">
        <f t="shared" si="12"/>
        <v>5880</v>
      </c>
      <c r="Q85" s="360">
        <f t="shared" si="13"/>
        <v>34164</v>
      </c>
    </row>
    <row r="86" spans="1:17" x14ac:dyDescent="0.2">
      <c r="A86" s="55" t="s">
        <v>1297</v>
      </c>
      <c r="B86" s="40" t="str">
        <f>'[2]Table 13'!B87</f>
        <v>High Point</v>
      </c>
      <c r="C86" s="428" t="str">
        <f>VLOOKUP($A86,[0]!Data,15,FALSE)</f>
        <v>Yes</v>
      </c>
      <c r="D86" s="358">
        <f>VLOOKUP($A86,[0]!Data,16,FALSE)</f>
        <v>1084</v>
      </c>
      <c r="E86" s="358">
        <f>VLOOKUP($A86,[0]!Data,18,FALSE)</f>
        <v>99</v>
      </c>
      <c r="F86" s="358">
        <f>VLOOKUP($A86,[0]!Data,20,FALSE)</f>
        <v>9783</v>
      </c>
      <c r="G86" s="358">
        <f>VLOOKUP($A86,[0]!Data,24,FALSE)</f>
        <v>0</v>
      </c>
      <c r="H86" s="358">
        <f>VLOOKUP($A86,[0]!Data,22,FALSE)</f>
        <v>-1</v>
      </c>
      <c r="I86" s="358">
        <f>VLOOKUP($A86,[0]!Data,17,FALSE)</f>
        <v>54</v>
      </c>
      <c r="J86" s="358">
        <f>VLOOKUP($A86,[0]!Data,19,FALSE)</f>
        <v>16</v>
      </c>
      <c r="K86" s="358">
        <f>VLOOKUP($A86,[0]!Data,21,FALSE)</f>
        <v>1999</v>
      </c>
      <c r="L86" s="358">
        <f>VLOOKUP($A86,[0]!Data,25,FALSE)</f>
        <v>0</v>
      </c>
      <c r="M86" s="358">
        <f>VLOOKUP($A86,[0]!Data,23,FALSE)</f>
        <v>6230</v>
      </c>
      <c r="N86" s="358">
        <f t="shared" si="10"/>
        <v>1138</v>
      </c>
      <c r="O86" s="358">
        <f t="shared" si="11"/>
        <v>115</v>
      </c>
      <c r="P86" s="358">
        <f t="shared" si="12"/>
        <v>11782</v>
      </c>
      <c r="Q86" s="360">
        <f t="shared" si="13"/>
        <v>6229</v>
      </c>
    </row>
    <row r="87" spans="1:17" x14ac:dyDescent="0.2">
      <c r="A87" s="55" t="s">
        <v>1341</v>
      </c>
      <c r="B87" s="40" t="str">
        <f>'[2]Table 13'!B88</f>
        <v>Kings Mountain</v>
      </c>
      <c r="C87" s="428" t="str">
        <f>VLOOKUP($A87,[0]!Data,15,FALSE)</f>
        <v>Yes</v>
      </c>
      <c r="D87" s="358">
        <f>VLOOKUP($A87,[0]!Data,16,FALSE)</f>
        <v>127</v>
      </c>
      <c r="E87" s="358">
        <f>VLOOKUP($A87,[0]!Data,18,FALSE)</f>
        <v>24</v>
      </c>
      <c r="F87" s="358">
        <f>VLOOKUP($A87,[0]!Data,20,FALSE)</f>
        <v>1777</v>
      </c>
      <c r="G87" s="358">
        <f>VLOOKUP($A87,[0]!Data,24,FALSE)</f>
        <v>9215</v>
      </c>
      <c r="H87" s="358">
        <f>VLOOKUP($A87,[0]!Data,22,FALSE)</f>
        <v>9587</v>
      </c>
      <c r="I87" s="358">
        <f>VLOOKUP($A87,[0]!Data,17,FALSE)</f>
        <v>50</v>
      </c>
      <c r="J87" s="358">
        <f>VLOOKUP($A87,[0]!Data,19,FALSE)</f>
        <v>7</v>
      </c>
      <c r="K87" s="358">
        <f>VLOOKUP($A87,[0]!Data,21,FALSE)</f>
        <v>130</v>
      </c>
      <c r="L87" s="358">
        <f>VLOOKUP($A87,[0]!Data,25,FALSE)</f>
        <v>13982</v>
      </c>
      <c r="M87" s="358">
        <f>VLOOKUP($A87,[0]!Data,23,FALSE)</f>
        <v>940</v>
      </c>
      <c r="N87" s="358">
        <f t="shared" si="10"/>
        <v>177</v>
      </c>
      <c r="O87" s="358">
        <f t="shared" si="11"/>
        <v>31</v>
      </c>
      <c r="P87" s="358">
        <f t="shared" si="12"/>
        <v>1907</v>
      </c>
      <c r="Q87" s="360">
        <f t="shared" si="13"/>
        <v>10527</v>
      </c>
    </row>
    <row r="88" spans="1:17" x14ac:dyDescent="0.2">
      <c r="A88" s="55" t="s">
        <v>1409</v>
      </c>
      <c r="B88" s="40" t="str">
        <f>'[2]Table 13'!B89</f>
        <v>Mooresville</v>
      </c>
      <c r="C88" s="428" t="str">
        <f>VLOOKUP($A88,[0]!Data,15,FALSE)</f>
        <v>Yes</v>
      </c>
      <c r="D88" s="358">
        <f>VLOOKUP($A88,[0]!Data,16,FALSE)</f>
        <v>624</v>
      </c>
      <c r="E88" s="358">
        <f>VLOOKUP($A88,[0]!Data,18,FALSE)</f>
        <v>123</v>
      </c>
      <c r="F88" s="358">
        <f>VLOOKUP($A88,[0]!Data,20,FALSE)</f>
        <v>5032</v>
      </c>
      <c r="G88" s="358">
        <f>VLOOKUP($A88,[0]!Data,24,FALSE)</f>
        <v>339416</v>
      </c>
      <c r="H88" s="358">
        <f>VLOOKUP($A88,[0]!Data,22,FALSE)</f>
        <v>64213</v>
      </c>
      <c r="I88" s="358">
        <f>VLOOKUP($A88,[0]!Data,17,FALSE)</f>
        <v>169</v>
      </c>
      <c r="J88" s="358">
        <f>VLOOKUP($A88,[0]!Data,19,FALSE)</f>
        <v>10</v>
      </c>
      <c r="K88" s="358">
        <f>VLOOKUP($A88,[0]!Data,21,FALSE)</f>
        <v>215</v>
      </c>
      <c r="L88" s="358">
        <f>VLOOKUP($A88,[0]!Data,25,FALSE)</f>
        <v>295697</v>
      </c>
      <c r="M88" s="358">
        <f>VLOOKUP($A88,[0]!Data,23,FALSE)</f>
        <v>5098</v>
      </c>
      <c r="N88" s="358">
        <f t="shared" si="10"/>
        <v>793</v>
      </c>
      <c r="O88" s="358">
        <f t="shared" si="11"/>
        <v>133</v>
      </c>
      <c r="P88" s="358">
        <f t="shared" si="12"/>
        <v>5247</v>
      </c>
      <c r="Q88" s="360">
        <f t="shared" si="13"/>
        <v>69311</v>
      </c>
    </row>
    <row r="89" spans="1:17" x14ac:dyDescent="0.2">
      <c r="A89" s="55" t="s">
        <v>1245</v>
      </c>
      <c r="B89" s="40" t="str">
        <f>'[2]Table 13'!B90</f>
        <v>Nashville</v>
      </c>
      <c r="C89" s="428" t="str">
        <f>VLOOKUP($A89,[0]!Data,15,FALSE)</f>
        <v>No</v>
      </c>
      <c r="D89" s="358">
        <f>VLOOKUP($A89,[0]!Data,16,FALSE)</f>
        <v>63</v>
      </c>
      <c r="E89" s="358">
        <f>VLOOKUP($A89,[0]!Data,18,FALSE)</f>
        <v>7</v>
      </c>
      <c r="F89" s="358">
        <f>VLOOKUP($A89,[0]!Data,20,FALSE)</f>
        <v>216</v>
      </c>
      <c r="G89" s="358">
        <f>VLOOKUP($A89,[0]!Data,24,FALSE)</f>
        <v>0</v>
      </c>
      <c r="H89" s="358">
        <f>VLOOKUP($A89,[0]!Data,22,FALSE)</f>
        <v>1053</v>
      </c>
      <c r="I89" s="358">
        <f>VLOOKUP($A89,[0]!Data,17,FALSE)</f>
        <v>45</v>
      </c>
      <c r="J89" s="358">
        <f>VLOOKUP($A89,[0]!Data,19,FALSE)</f>
        <v>3</v>
      </c>
      <c r="K89" s="358">
        <f>VLOOKUP($A89,[0]!Data,21,FALSE)</f>
        <v>54</v>
      </c>
      <c r="L89" s="358">
        <f>VLOOKUP($A89,[0]!Data,25,FALSE)</f>
        <v>0</v>
      </c>
      <c r="M89" s="358">
        <f>VLOOKUP($A89,[0]!Data,23,FALSE)</f>
        <v>243</v>
      </c>
      <c r="N89" s="358">
        <f t="shared" si="10"/>
        <v>108</v>
      </c>
      <c r="O89" s="358">
        <f t="shared" si="11"/>
        <v>10</v>
      </c>
      <c r="P89" s="358">
        <f t="shared" si="12"/>
        <v>270</v>
      </c>
      <c r="Q89" s="360">
        <f t="shared" si="13"/>
        <v>1296</v>
      </c>
    </row>
    <row r="90" spans="1:17" x14ac:dyDescent="0.2">
      <c r="A90" s="55" t="s">
        <v>1613</v>
      </c>
      <c r="B90" s="40" t="str">
        <f>'[2]Table 13'!B91</f>
        <v>Roanoke Rapids</v>
      </c>
      <c r="C90" s="428" t="str">
        <f>VLOOKUP($A90,[0]!Data,15,FALSE)</f>
        <v>No</v>
      </c>
      <c r="D90" s="358">
        <f>VLOOKUP($A90,[0]!Data,16,FALSE)</f>
        <v>38</v>
      </c>
      <c r="E90" s="358">
        <f>VLOOKUP($A90,[0]!Data,18,FALSE)</f>
        <v>24</v>
      </c>
      <c r="F90" s="358">
        <f>VLOOKUP($A90,[0]!Data,20,FALSE)</f>
        <v>504</v>
      </c>
      <c r="G90" s="358">
        <f>VLOOKUP($A90,[0]!Data,24,FALSE)</f>
        <v>9390</v>
      </c>
      <c r="H90" s="358">
        <f>VLOOKUP($A90,[0]!Data,22,FALSE)</f>
        <v>1900</v>
      </c>
      <c r="I90" s="358">
        <f>VLOOKUP($A90,[0]!Data,17,FALSE)</f>
        <v>5</v>
      </c>
      <c r="J90" s="358">
        <f>VLOOKUP($A90,[0]!Data,19,FALSE)</f>
        <v>5</v>
      </c>
      <c r="K90" s="358">
        <f>VLOOKUP($A90,[0]!Data,21,FALSE)</f>
        <v>6</v>
      </c>
      <c r="L90" s="358">
        <f>VLOOKUP($A90,[0]!Data,25,FALSE)</f>
        <v>780</v>
      </c>
      <c r="M90" s="358">
        <f>VLOOKUP($A90,[0]!Data,23,FALSE)</f>
        <v>254</v>
      </c>
      <c r="N90" s="358">
        <f t="shared" si="10"/>
        <v>43</v>
      </c>
      <c r="O90" s="358">
        <f t="shared" si="11"/>
        <v>29</v>
      </c>
      <c r="P90" s="358">
        <f t="shared" si="12"/>
        <v>510</v>
      </c>
      <c r="Q90" s="360">
        <f t="shared" si="13"/>
        <v>2154</v>
      </c>
    </row>
    <row r="91" spans="1:17" x14ac:dyDescent="0.2">
      <c r="A91" s="55" t="s">
        <v>1742</v>
      </c>
      <c r="B91" s="40" t="str">
        <f>'[2]Table 13'!B92</f>
        <v>Southern Pines</v>
      </c>
      <c r="C91" s="428" t="str">
        <f>VLOOKUP($A91,[0]!Data,15,FALSE)</f>
        <v>Yes</v>
      </c>
      <c r="D91" s="358">
        <f>VLOOKUP($A91,[0]!Data,16,FALSE)</f>
        <v>390</v>
      </c>
      <c r="E91" s="358">
        <f>VLOOKUP($A91,[0]!Data,18,FALSE)</f>
        <v>157</v>
      </c>
      <c r="F91" s="358">
        <f>VLOOKUP($A91,[0]!Data,20,FALSE)</f>
        <v>3759</v>
      </c>
      <c r="G91" s="358">
        <f>VLOOKUP($A91,[0]!Data,24,FALSE)</f>
        <v>138684</v>
      </c>
      <c r="H91" s="358">
        <f>VLOOKUP($A91,[0]!Data,22,FALSE)</f>
        <v>13793</v>
      </c>
      <c r="I91" s="358">
        <f>VLOOKUP($A91,[0]!Data,17,FALSE)</f>
        <v>42</v>
      </c>
      <c r="J91" s="358">
        <f>VLOOKUP($A91,[0]!Data,19,FALSE)</f>
        <v>4</v>
      </c>
      <c r="K91" s="358">
        <f>VLOOKUP($A91,[0]!Data,21,FALSE)</f>
        <v>103</v>
      </c>
      <c r="L91" s="358">
        <f>VLOOKUP($A91,[0]!Data,25,FALSE)</f>
        <v>9372</v>
      </c>
      <c r="M91" s="358">
        <f>VLOOKUP($A91,[0]!Data,23,FALSE)</f>
        <v>1038</v>
      </c>
      <c r="N91" s="358">
        <f t="shared" si="10"/>
        <v>432</v>
      </c>
      <c r="O91" s="358">
        <f t="shared" si="11"/>
        <v>161</v>
      </c>
      <c r="P91" s="358">
        <f t="shared" si="12"/>
        <v>3862</v>
      </c>
      <c r="Q91" s="360">
        <f t="shared" si="13"/>
        <v>14831</v>
      </c>
    </row>
    <row r="92" spans="1:17" x14ac:dyDescent="0.2">
      <c r="A92" s="55" t="s">
        <v>1178</v>
      </c>
      <c r="B92" s="40" t="str">
        <f>'[2]Table 13'!B93</f>
        <v>Washington</v>
      </c>
      <c r="C92" s="428" t="str">
        <f>VLOOKUP($A92,[0]!Data,15,FALSE)</f>
        <v>Yes</v>
      </c>
      <c r="D92" s="358">
        <f>VLOOKUP($A92,[0]!Data,16,FALSE)</f>
        <v>271</v>
      </c>
      <c r="E92" s="358">
        <f>VLOOKUP($A92,[0]!Data,18,FALSE)</f>
        <v>24</v>
      </c>
      <c r="F92" s="358">
        <f>VLOOKUP($A92,[0]!Data,20,FALSE)</f>
        <v>1110</v>
      </c>
      <c r="G92" s="358">
        <f>VLOOKUP($A92,[0]!Data,24,FALSE)</f>
        <v>0</v>
      </c>
      <c r="H92" s="358">
        <f>VLOOKUP($A92,[0]!Data,22,FALSE)</f>
        <v>9685</v>
      </c>
      <c r="I92" s="358">
        <f>VLOOKUP($A92,[0]!Data,17,FALSE)</f>
        <v>36</v>
      </c>
      <c r="J92" s="358">
        <f>VLOOKUP($A92,[0]!Data,19,FALSE)</f>
        <v>8</v>
      </c>
      <c r="K92" s="358">
        <f>VLOOKUP($A92,[0]!Data,21,FALSE)</f>
        <v>227</v>
      </c>
      <c r="L92" s="358">
        <f>VLOOKUP($A92,[0]!Data,25,FALSE)</f>
        <v>0</v>
      </c>
      <c r="M92" s="358">
        <f>VLOOKUP($A92,[0]!Data,23,FALSE)</f>
        <v>1754</v>
      </c>
      <c r="N92" s="358">
        <f t="shared" si="10"/>
        <v>307</v>
      </c>
      <c r="O92" s="358">
        <f t="shared" si="11"/>
        <v>32</v>
      </c>
      <c r="P92" s="358">
        <f t="shared" si="12"/>
        <v>1337</v>
      </c>
      <c r="Q92" s="360">
        <f t="shared" si="13"/>
        <v>11439</v>
      </c>
    </row>
    <row r="93" spans="1:17" x14ac:dyDescent="0.2">
      <c r="A93" s="652" t="s">
        <v>2130</v>
      </c>
      <c r="B93" s="653"/>
      <c r="C93" s="59"/>
      <c r="D93" s="61">
        <f>SUM(D82:D92)</f>
        <v>6202</v>
      </c>
      <c r="E93" s="61">
        <f t="shared" ref="E93:Q93" si="14">SUM(E82:E92)</f>
        <v>817</v>
      </c>
      <c r="F93" s="61">
        <f t="shared" si="14"/>
        <v>39785</v>
      </c>
      <c r="G93" s="61">
        <f>SUM(G82:G92)</f>
        <v>2364351</v>
      </c>
      <c r="H93" s="61">
        <f t="shared" si="14"/>
        <v>345888</v>
      </c>
      <c r="I93" s="61">
        <f t="shared" si="14"/>
        <v>1256</v>
      </c>
      <c r="J93" s="61">
        <f t="shared" si="14"/>
        <v>111</v>
      </c>
      <c r="K93" s="61">
        <f t="shared" si="14"/>
        <v>3435</v>
      </c>
      <c r="L93" s="61">
        <f>SUM(L82:L92)</f>
        <v>733803</v>
      </c>
      <c r="M93" s="61">
        <f t="shared" si="14"/>
        <v>35585</v>
      </c>
      <c r="N93" s="61">
        <f t="shared" si="14"/>
        <v>7458</v>
      </c>
      <c r="O93" s="61">
        <f t="shared" si="14"/>
        <v>928</v>
      </c>
      <c r="P93" s="61">
        <f t="shared" si="14"/>
        <v>43220</v>
      </c>
      <c r="Q93" s="64">
        <f t="shared" si="14"/>
        <v>381473</v>
      </c>
    </row>
    <row r="94" spans="1:17" ht="15.75" thickBot="1" x14ac:dyDescent="0.3">
      <c r="A94" s="23"/>
      <c r="B94" s="24"/>
      <c r="C94" s="24"/>
      <c r="D94" s="67"/>
      <c r="E94" s="67"/>
      <c r="F94" s="421"/>
      <c r="G94" s="67"/>
      <c r="H94" s="67"/>
      <c r="I94" s="76"/>
      <c r="J94" s="76"/>
      <c r="K94" s="76"/>
      <c r="L94" s="76"/>
      <c r="M94" s="76"/>
      <c r="N94" s="421"/>
      <c r="O94" s="421"/>
      <c r="P94" s="421"/>
      <c r="Q94" s="506"/>
    </row>
    <row r="95" spans="1:17" ht="13.5" thickTop="1" x14ac:dyDescent="0.2">
      <c r="A95" s="654" t="s">
        <v>2131</v>
      </c>
      <c r="B95" s="702"/>
      <c r="C95" s="365"/>
      <c r="D95" s="365">
        <f>SUM(D93,D80,D66)</f>
        <v>124128</v>
      </c>
      <c r="E95" s="365">
        <f t="shared" ref="E95:Q95" si="15">SUM(E93,E80,E66)</f>
        <v>17937</v>
      </c>
      <c r="F95" s="365">
        <f t="shared" si="15"/>
        <v>596255</v>
      </c>
      <c r="G95" s="365">
        <f t="shared" si="15"/>
        <v>52978976</v>
      </c>
      <c r="H95" s="365">
        <f t="shared" si="15"/>
        <v>5381189</v>
      </c>
      <c r="I95" s="365">
        <f t="shared" si="15"/>
        <v>24100</v>
      </c>
      <c r="J95" s="365">
        <f t="shared" si="15"/>
        <v>3020</v>
      </c>
      <c r="K95" s="365">
        <f t="shared" si="15"/>
        <v>42137</v>
      </c>
      <c r="L95" s="365">
        <f t="shared" si="15"/>
        <v>12667098</v>
      </c>
      <c r="M95" s="365">
        <f t="shared" si="15"/>
        <v>527445</v>
      </c>
      <c r="N95" s="365">
        <f t="shared" si="15"/>
        <v>148228</v>
      </c>
      <c r="O95" s="365">
        <f t="shared" si="15"/>
        <v>20957</v>
      </c>
      <c r="P95" s="365">
        <f t="shared" si="15"/>
        <v>638392</v>
      </c>
      <c r="Q95" s="365">
        <f t="shared" si="15"/>
        <v>5908634</v>
      </c>
    </row>
    <row r="96" spans="1:17" x14ac:dyDescent="0.2">
      <c r="A96" s="280"/>
      <c r="B96" s="280"/>
      <c r="C96" s="280"/>
    </row>
  </sheetData>
  <mergeCells count="9">
    <mergeCell ref="A95:B95"/>
    <mergeCell ref="B4:B6"/>
    <mergeCell ref="D4:H4"/>
    <mergeCell ref="I4:M4"/>
    <mergeCell ref="N4:Q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Y87"/>
  <sheetViews>
    <sheetView workbookViewId="0">
      <pane xSplit="7" ySplit="3" topLeftCell="HY81" activePane="bottomRight" state="frozen"/>
      <selection pane="topRight" activeCell="H1" sqref="H1"/>
      <selection pane="bottomLeft" activeCell="A4" sqref="A4"/>
      <selection pane="bottomRight" activeCell="IE82" sqref="IE82"/>
    </sheetView>
  </sheetViews>
  <sheetFormatPr defaultRowHeight="15" x14ac:dyDescent="0.25"/>
  <cols>
    <col min="231" max="231" width="23.28515625" customWidth="1"/>
    <col min="233" max="233" width="12.85546875" customWidth="1"/>
    <col min="234" max="234" width="12.140625" customWidth="1"/>
    <col min="239" max="239" width="12" customWidth="1"/>
  </cols>
  <sheetData>
    <row r="1" spans="1:363" x14ac:dyDescent="0.25">
      <c r="A1">
        <v>6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  <c r="IS1">
        <v>253</v>
      </c>
      <c r="IT1">
        <v>254</v>
      </c>
      <c r="IU1">
        <v>255</v>
      </c>
      <c r="IV1">
        <v>256</v>
      </c>
      <c r="IW1">
        <v>257</v>
      </c>
      <c r="IX1">
        <v>258</v>
      </c>
      <c r="IY1">
        <v>259</v>
      </c>
      <c r="IZ1">
        <v>260</v>
      </c>
      <c r="JA1">
        <v>261</v>
      </c>
      <c r="JB1">
        <v>262</v>
      </c>
      <c r="JC1">
        <v>263</v>
      </c>
      <c r="JD1">
        <v>264</v>
      </c>
      <c r="JE1">
        <v>265</v>
      </c>
      <c r="JF1">
        <v>266</v>
      </c>
      <c r="JG1">
        <v>267</v>
      </c>
      <c r="JH1">
        <v>268</v>
      </c>
      <c r="JI1">
        <v>269</v>
      </c>
      <c r="JJ1">
        <v>270</v>
      </c>
      <c r="JK1">
        <v>271</v>
      </c>
      <c r="JL1">
        <v>272</v>
      </c>
      <c r="JM1">
        <v>273</v>
      </c>
      <c r="JN1">
        <v>274</v>
      </c>
      <c r="JO1">
        <v>275</v>
      </c>
      <c r="JP1">
        <v>276</v>
      </c>
      <c r="JQ1">
        <v>277</v>
      </c>
      <c r="JR1">
        <v>278</v>
      </c>
      <c r="JS1">
        <v>279</v>
      </c>
      <c r="JT1">
        <v>280</v>
      </c>
      <c r="JU1">
        <v>281</v>
      </c>
      <c r="JV1">
        <v>282</v>
      </c>
      <c r="JW1">
        <v>283</v>
      </c>
      <c r="JX1">
        <v>284</v>
      </c>
      <c r="JY1">
        <v>285</v>
      </c>
      <c r="JZ1">
        <v>286</v>
      </c>
      <c r="KA1">
        <v>287</v>
      </c>
      <c r="KB1">
        <v>288</v>
      </c>
      <c r="KC1">
        <v>289</v>
      </c>
      <c r="KD1">
        <v>290</v>
      </c>
      <c r="KE1">
        <v>291</v>
      </c>
      <c r="KF1">
        <v>292</v>
      </c>
      <c r="KG1">
        <v>293</v>
      </c>
      <c r="KH1">
        <v>294</v>
      </c>
      <c r="KI1">
        <v>295</v>
      </c>
      <c r="KJ1">
        <v>296</v>
      </c>
      <c r="KK1">
        <v>297</v>
      </c>
      <c r="KL1">
        <v>298</v>
      </c>
      <c r="KM1">
        <v>299</v>
      </c>
      <c r="KN1">
        <v>300</v>
      </c>
      <c r="KO1">
        <v>301</v>
      </c>
      <c r="KP1">
        <v>302</v>
      </c>
      <c r="KQ1">
        <v>303</v>
      </c>
      <c r="KR1">
        <v>304</v>
      </c>
      <c r="KS1">
        <v>305</v>
      </c>
      <c r="KT1">
        <v>306</v>
      </c>
      <c r="KU1">
        <v>307</v>
      </c>
      <c r="KV1">
        <v>308</v>
      </c>
      <c r="KW1">
        <v>309</v>
      </c>
      <c r="KX1">
        <v>310</v>
      </c>
      <c r="KY1">
        <v>311</v>
      </c>
      <c r="KZ1">
        <v>312</v>
      </c>
      <c r="LA1">
        <v>313</v>
      </c>
      <c r="LB1">
        <v>314</v>
      </c>
      <c r="LC1">
        <v>315</v>
      </c>
      <c r="LD1">
        <v>316</v>
      </c>
      <c r="LE1">
        <v>317</v>
      </c>
      <c r="LF1">
        <v>318</v>
      </c>
      <c r="LG1">
        <v>319</v>
      </c>
      <c r="LH1">
        <v>320</v>
      </c>
      <c r="LI1">
        <v>321</v>
      </c>
      <c r="LJ1">
        <v>322</v>
      </c>
      <c r="LK1">
        <v>323</v>
      </c>
      <c r="LL1">
        <v>324</v>
      </c>
      <c r="LM1">
        <v>325</v>
      </c>
      <c r="LN1">
        <v>326</v>
      </c>
      <c r="LO1">
        <v>327</v>
      </c>
      <c r="LP1">
        <v>328</v>
      </c>
      <c r="LQ1">
        <v>329</v>
      </c>
      <c r="LR1">
        <v>330</v>
      </c>
      <c r="LS1">
        <v>331</v>
      </c>
      <c r="LT1">
        <v>332</v>
      </c>
      <c r="LU1">
        <v>333</v>
      </c>
      <c r="LV1">
        <v>334</v>
      </c>
      <c r="LW1">
        <v>335</v>
      </c>
      <c r="LX1">
        <v>336</v>
      </c>
      <c r="LY1">
        <v>337</v>
      </c>
      <c r="LZ1">
        <v>338</v>
      </c>
      <c r="MA1">
        <v>339</v>
      </c>
      <c r="MB1">
        <v>340</v>
      </c>
      <c r="MC1">
        <v>341</v>
      </c>
      <c r="MD1">
        <v>342</v>
      </c>
      <c r="ME1">
        <v>343</v>
      </c>
      <c r="MF1">
        <v>344</v>
      </c>
      <c r="MG1">
        <v>345</v>
      </c>
      <c r="MH1">
        <v>346</v>
      </c>
      <c r="MI1">
        <v>347</v>
      </c>
      <c r="MJ1">
        <v>348</v>
      </c>
      <c r="MK1">
        <v>349</v>
      </c>
      <c r="ML1">
        <v>350</v>
      </c>
      <c r="MM1">
        <v>351</v>
      </c>
      <c r="MN1">
        <v>352</v>
      </c>
      <c r="MO1">
        <v>353</v>
      </c>
      <c r="MP1">
        <v>354</v>
      </c>
      <c r="MQ1">
        <v>355</v>
      </c>
      <c r="MR1">
        <v>356</v>
      </c>
      <c r="MS1">
        <v>357</v>
      </c>
      <c r="MT1">
        <v>358</v>
      </c>
      <c r="MU1">
        <v>359</v>
      </c>
      <c r="MV1">
        <v>360</v>
      </c>
      <c r="MW1">
        <v>361</v>
      </c>
      <c r="MX1">
        <v>362</v>
      </c>
      <c r="MY1">
        <v>363</v>
      </c>
    </row>
    <row r="2" spans="1:363" x14ac:dyDescent="0.25">
      <c r="A2" t="s">
        <v>4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38</v>
      </c>
      <c r="AT2" t="s">
        <v>39</v>
      </c>
      <c r="AU2" t="s">
        <v>43</v>
      </c>
      <c r="AV2" t="s">
        <v>44</v>
      </c>
      <c r="AW2" t="s">
        <v>45</v>
      </c>
      <c r="AX2" t="s">
        <v>46</v>
      </c>
      <c r="AY2" t="s">
        <v>47</v>
      </c>
      <c r="AZ2" t="s">
        <v>48</v>
      </c>
      <c r="BA2" t="s">
        <v>49</v>
      </c>
      <c r="BB2" t="s">
        <v>50</v>
      </c>
      <c r="BC2" t="s">
        <v>51</v>
      </c>
      <c r="BD2" t="s">
        <v>52</v>
      </c>
      <c r="BE2" t="s">
        <v>53</v>
      </c>
      <c r="BF2" t="s">
        <v>54</v>
      </c>
      <c r="BG2" t="s">
        <v>55</v>
      </c>
      <c r="BH2" t="s">
        <v>56</v>
      </c>
      <c r="BI2" t="s">
        <v>57</v>
      </c>
      <c r="BJ2" t="s">
        <v>58</v>
      </c>
      <c r="BK2" t="s">
        <v>59</v>
      </c>
      <c r="BL2" t="s">
        <v>60</v>
      </c>
      <c r="BM2" t="s">
        <v>61</v>
      </c>
      <c r="BN2" t="s">
        <v>62</v>
      </c>
      <c r="BO2" t="s">
        <v>63</v>
      </c>
      <c r="BP2" t="s">
        <v>64</v>
      </c>
      <c r="BQ2" t="s">
        <v>65</v>
      </c>
      <c r="BR2" t="s">
        <v>66</v>
      </c>
      <c r="BS2" t="s">
        <v>67</v>
      </c>
      <c r="BT2" t="s">
        <v>68</v>
      </c>
      <c r="BU2" t="s">
        <v>69</v>
      </c>
      <c r="BV2" t="s">
        <v>70</v>
      </c>
      <c r="BW2" t="s">
        <v>71</v>
      </c>
      <c r="BX2" t="s">
        <v>72</v>
      </c>
      <c r="BY2" t="s">
        <v>73</v>
      </c>
      <c r="BZ2" t="s">
        <v>74</v>
      </c>
      <c r="CA2" t="s">
        <v>75</v>
      </c>
      <c r="CB2" t="s">
        <v>76</v>
      </c>
      <c r="CC2" t="s">
        <v>77</v>
      </c>
      <c r="CD2" t="s">
        <v>78</v>
      </c>
      <c r="CE2" t="s">
        <v>79</v>
      </c>
      <c r="CF2" t="s">
        <v>80</v>
      </c>
      <c r="CG2" t="s">
        <v>81</v>
      </c>
      <c r="CH2" t="s">
        <v>82</v>
      </c>
      <c r="CI2" t="s">
        <v>83</v>
      </c>
      <c r="CJ2" t="s">
        <v>84</v>
      </c>
      <c r="CK2" t="s">
        <v>85</v>
      </c>
      <c r="CL2" t="s">
        <v>86</v>
      </c>
      <c r="CM2" t="s">
        <v>87</v>
      </c>
      <c r="CN2" t="s">
        <v>88</v>
      </c>
      <c r="CO2" t="s">
        <v>89</v>
      </c>
      <c r="CP2" t="s">
        <v>90</v>
      </c>
      <c r="CQ2" t="s">
        <v>91</v>
      </c>
      <c r="CR2" t="s">
        <v>92</v>
      </c>
      <c r="CS2" t="s">
        <v>93</v>
      </c>
      <c r="CT2" t="s">
        <v>94</v>
      </c>
      <c r="CU2" t="s">
        <v>95</v>
      </c>
      <c r="CV2" t="s">
        <v>96</v>
      </c>
      <c r="CW2" t="s">
        <v>97</v>
      </c>
      <c r="CX2" t="s">
        <v>98</v>
      </c>
      <c r="CY2" t="s">
        <v>99</v>
      </c>
      <c r="CZ2" t="s">
        <v>100</v>
      </c>
      <c r="DA2" t="s">
        <v>101</v>
      </c>
      <c r="DB2" t="s">
        <v>102</v>
      </c>
      <c r="DC2" t="s">
        <v>103</v>
      </c>
      <c r="DD2" t="s">
        <v>104</v>
      </c>
      <c r="DE2" t="s">
        <v>105</v>
      </c>
      <c r="DF2" t="s">
        <v>106</v>
      </c>
      <c r="DG2" t="s">
        <v>107</v>
      </c>
      <c r="DH2" t="s">
        <v>108</v>
      </c>
      <c r="DI2" t="s">
        <v>109</v>
      </c>
      <c r="DJ2" t="s">
        <v>110</v>
      </c>
      <c r="DK2" t="s">
        <v>111</v>
      </c>
      <c r="DL2" t="s">
        <v>112</v>
      </c>
      <c r="DM2" t="s">
        <v>113</v>
      </c>
      <c r="DN2" t="s">
        <v>114</v>
      </c>
      <c r="DO2" t="s">
        <v>115</v>
      </c>
      <c r="DP2" t="s">
        <v>116</v>
      </c>
      <c r="DQ2" t="s">
        <v>117</v>
      </c>
      <c r="DR2" t="s">
        <v>118</v>
      </c>
      <c r="DS2" t="s">
        <v>119</v>
      </c>
      <c r="DT2" t="s">
        <v>120</v>
      </c>
      <c r="DU2" t="s">
        <v>121</v>
      </c>
      <c r="DV2" t="s">
        <v>122</v>
      </c>
      <c r="DW2" t="s">
        <v>123</v>
      </c>
      <c r="DX2" t="s">
        <v>124</v>
      </c>
      <c r="DY2" t="s">
        <v>125</v>
      </c>
      <c r="DZ2" t="s">
        <v>126</v>
      </c>
      <c r="EA2" t="s">
        <v>127</v>
      </c>
      <c r="EB2" t="s">
        <v>128</v>
      </c>
      <c r="EC2" t="s">
        <v>129</v>
      </c>
      <c r="ED2" t="s">
        <v>130</v>
      </c>
      <c r="EE2" t="s">
        <v>131</v>
      </c>
      <c r="EF2" t="s">
        <v>132</v>
      </c>
      <c r="EG2" t="s">
        <v>133</v>
      </c>
      <c r="EH2" t="s">
        <v>134</v>
      </c>
      <c r="EI2" t="s">
        <v>135</v>
      </c>
      <c r="EJ2" t="s">
        <v>136</v>
      </c>
      <c r="EK2" t="s">
        <v>137</v>
      </c>
      <c r="EL2" t="s">
        <v>138</v>
      </c>
      <c r="EM2" t="s">
        <v>139</v>
      </c>
      <c r="EN2" t="s">
        <v>140</v>
      </c>
      <c r="EO2" t="s">
        <v>141</v>
      </c>
      <c r="EP2" t="s">
        <v>142</v>
      </c>
      <c r="EQ2" t="s">
        <v>143</v>
      </c>
      <c r="ER2" t="s">
        <v>144</v>
      </c>
      <c r="ES2" t="s">
        <v>145</v>
      </c>
      <c r="ET2" t="s">
        <v>146</v>
      </c>
      <c r="EU2" t="s">
        <v>147</v>
      </c>
      <c r="EV2" t="s">
        <v>148</v>
      </c>
      <c r="EW2" t="s">
        <v>149</v>
      </c>
      <c r="EX2" t="s">
        <v>150</v>
      </c>
      <c r="EY2" t="s">
        <v>151</v>
      </c>
      <c r="EZ2" t="s">
        <v>152</v>
      </c>
      <c r="FA2" t="s">
        <v>153</v>
      </c>
      <c r="FB2" t="s">
        <v>154</v>
      </c>
      <c r="FC2" t="s">
        <v>155</v>
      </c>
      <c r="FD2" t="s">
        <v>156</v>
      </c>
      <c r="FE2" t="s">
        <v>157</v>
      </c>
      <c r="FF2" t="s">
        <v>158</v>
      </c>
      <c r="FG2" t="s">
        <v>159</v>
      </c>
      <c r="FH2" t="s">
        <v>160</v>
      </c>
      <c r="FI2" t="s">
        <v>161</v>
      </c>
      <c r="FJ2" t="s">
        <v>162</v>
      </c>
      <c r="FK2" t="s">
        <v>163</v>
      </c>
      <c r="FL2" t="s">
        <v>164</v>
      </c>
      <c r="FM2" t="s">
        <v>165</v>
      </c>
      <c r="FN2" t="s">
        <v>166</v>
      </c>
      <c r="FO2" t="s">
        <v>167</v>
      </c>
      <c r="FP2" t="s">
        <v>168</v>
      </c>
      <c r="FQ2" t="s">
        <v>169</v>
      </c>
      <c r="FR2" t="s">
        <v>170</v>
      </c>
      <c r="FS2" t="s">
        <v>171</v>
      </c>
      <c r="FT2" t="s">
        <v>172</v>
      </c>
      <c r="FU2" t="s">
        <v>173</v>
      </c>
      <c r="FV2" t="s">
        <v>174</v>
      </c>
      <c r="FW2" t="s">
        <v>175</v>
      </c>
      <c r="FX2" t="s">
        <v>176</v>
      </c>
      <c r="FY2" t="s">
        <v>177</v>
      </c>
      <c r="FZ2" t="s">
        <v>178</v>
      </c>
      <c r="GA2" t="s">
        <v>179</v>
      </c>
      <c r="GB2" t="s">
        <v>180</v>
      </c>
      <c r="GC2" t="s">
        <v>181</v>
      </c>
      <c r="GD2" t="s">
        <v>182</v>
      </c>
      <c r="GE2" t="s">
        <v>183</v>
      </c>
      <c r="GF2" t="s">
        <v>184</v>
      </c>
      <c r="GG2" t="s">
        <v>185</v>
      </c>
      <c r="GH2" t="s">
        <v>186</v>
      </c>
      <c r="GI2" t="s">
        <v>187</v>
      </c>
      <c r="GJ2" t="s">
        <v>188</v>
      </c>
      <c r="GK2" t="s">
        <v>189</v>
      </c>
      <c r="GL2" t="s">
        <v>190</v>
      </c>
      <c r="GM2" t="s">
        <v>191</v>
      </c>
      <c r="GN2" t="s">
        <v>192</v>
      </c>
      <c r="GO2" t="s">
        <v>193</v>
      </c>
      <c r="GP2" t="s">
        <v>194</v>
      </c>
      <c r="GQ2" t="s">
        <v>195</v>
      </c>
      <c r="GR2" t="s">
        <v>196</v>
      </c>
      <c r="GS2" t="s">
        <v>197</v>
      </c>
      <c r="GT2" t="s">
        <v>198</v>
      </c>
      <c r="GU2" t="s">
        <v>199</v>
      </c>
      <c r="GV2" t="s">
        <v>200</v>
      </c>
      <c r="GW2" t="s">
        <v>201</v>
      </c>
      <c r="GX2" t="s">
        <v>202</v>
      </c>
      <c r="GY2" t="s">
        <v>203</v>
      </c>
      <c r="GZ2" t="s">
        <v>204</v>
      </c>
      <c r="HA2" t="s">
        <v>205</v>
      </c>
      <c r="HB2" t="s">
        <v>206</v>
      </c>
      <c r="HC2" t="s">
        <v>207</v>
      </c>
      <c r="HD2" t="s">
        <v>208</v>
      </c>
      <c r="HE2" t="s">
        <v>209</v>
      </c>
      <c r="HF2" t="s">
        <v>210</v>
      </c>
      <c r="HG2" t="s">
        <v>211</v>
      </c>
      <c r="HH2" t="s">
        <v>212</v>
      </c>
      <c r="HI2" t="s">
        <v>213</v>
      </c>
      <c r="HJ2" t="s">
        <v>214</v>
      </c>
      <c r="HK2" t="s">
        <v>215</v>
      </c>
      <c r="HL2" t="s">
        <v>216</v>
      </c>
      <c r="HM2" t="s">
        <v>217</v>
      </c>
      <c r="HN2" t="s">
        <v>218</v>
      </c>
      <c r="HO2" t="s">
        <v>219</v>
      </c>
      <c r="HP2" t="s">
        <v>220</v>
      </c>
      <c r="HQ2" t="s">
        <v>221</v>
      </c>
      <c r="HR2" t="s">
        <v>222</v>
      </c>
      <c r="HS2" t="s">
        <v>223</v>
      </c>
      <c r="HT2" t="s">
        <v>224</v>
      </c>
      <c r="HU2" t="s">
        <v>225</v>
      </c>
      <c r="HV2" t="s">
        <v>226</v>
      </c>
      <c r="HW2" t="s">
        <v>227</v>
      </c>
      <c r="HX2" t="s">
        <v>228</v>
      </c>
      <c r="HY2" t="s">
        <v>229</v>
      </c>
      <c r="HZ2" t="s">
        <v>230</v>
      </c>
      <c r="IA2" t="s">
        <v>231</v>
      </c>
      <c r="IB2" t="s">
        <v>232</v>
      </c>
      <c r="IC2" t="s">
        <v>233</v>
      </c>
      <c r="ID2" t="s">
        <v>234</v>
      </c>
      <c r="IE2" t="s">
        <v>235</v>
      </c>
      <c r="IF2" t="s">
        <v>236</v>
      </c>
      <c r="IG2" t="s">
        <v>237</v>
      </c>
      <c r="IH2" t="s">
        <v>238</v>
      </c>
      <c r="II2" t="s">
        <v>239</v>
      </c>
      <c r="IJ2" t="s">
        <v>240</v>
      </c>
      <c r="IK2" t="s">
        <v>241</v>
      </c>
      <c r="IL2" t="s">
        <v>242</v>
      </c>
      <c r="IM2" t="s">
        <v>243</v>
      </c>
      <c r="IN2" t="s">
        <v>244</v>
      </c>
      <c r="IO2" t="s">
        <v>245</v>
      </c>
      <c r="IP2" t="s">
        <v>246</v>
      </c>
      <c r="IQ2" t="s">
        <v>247</v>
      </c>
      <c r="IR2" t="s">
        <v>248</v>
      </c>
      <c r="IS2" t="s">
        <v>249</v>
      </c>
      <c r="IT2" t="s">
        <v>250</v>
      </c>
      <c r="IU2" t="s">
        <v>251</v>
      </c>
      <c r="IV2" t="s">
        <v>252</v>
      </c>
      <c r="IW2" t="s">
        <v>253</v>
      </c>
      <c r="IX2" t="s">
        <v>254</v>
      </c>
      <c r="IY2" t="s">
        <v>255</v>
      </c>
      <c r="IZ2" t="s">
        <v>256</v>
      </c>
      <c r="JA2" t="s">
        <v>257</v>
      </c>
      <c r="JB2" t="s">
        <v>258</v>
      </c>
      <c r="JC2" t="s">
        <v>259</v>
      </c>
      <c r="JD2" t="s">
        <v>260</v>
      </c>
      <c r="JE2" t="s">
        <v>261</v>
      </c>
      <c r="JF2" t="s">
        <v>262</v>
      </c>
      <c r="JG2" t="s">
        <v>263</v>
      </c>
      <c r="JH2" t="s">
        <v>264</v>
      </c>
      <c r="JI2" t="s">
        <v>265</v>
      </c>
      <c r="JJ2" t="s">
        <v>266</v>
      </c>
      <c r="JK2" t="s">
        <v>267</v>
      </c>
      <c r="JL2" t="s">
        <v>268</v>
      </c>
      <c r="JM2" t="s">
        <v>269</v>
      </c>
      <c r="JN2" t="s">
        <v>270</v>
      </c>
      <c r="JO2" t="s">
        <v>271</v>
      </c>
      <c r="JP2" t="s">
        <v>272</v>
      </c>
      <c r="JQ2" t="s">
        <v>273</v>
      </c>
      <c r="JR2" t="s">
        <v>274</v>
      </c>
      <c r="JS2" t="s">
        <v>275</v>
      </c>
      <c r="JT2" t="s">
        <v>276</v>
      </c>
      <c r="JU2" t="s">
        <v>277</v>
      </c>
      <c r="JV2" t="s">
        <v>278</v>
      </c>
      <c r="JW2" t="s">
        <v>279</v>
      </c>
      <c r="JX2" t="s">
        <v>280</v>
      </c>
      <c r="JY2" t="s">
        <v>281</v>
      </c>
      <c r="JZ2" t="s">
        <v>282</v>
      </c>
      <c r="KA2" t="s">
        <v>283</v>
      </c>
      <c r="KB2" t="s">
        <v>284</v>
      </c>
      <c r="KC2" t="s">
        <v>285</v>
      </c>
      <c r="KD2" t="s">
        <v>286</v>
      </c>
      <c r="KE2" t="s">
        <v>287</v>
      </c>
      <c r="KF2" t="s">
        <v>288</v>
      </c>
      <c r="KG2" t="s">
        <v>289</v>
      </c>
      <c r="KH2" t="s">
        <v>290</v>
      </c>
      <c r="KI2" t="s">
        <v>291</v>
      </c>
      <c r="KJ2" t="s">
        <v>292</v>
      </c>
      <c r="KK2" t="s">
        <v>293</v>
      </c>
      <c r="KL2" t="s">
        <v>294</v>
      </c>
      <c r="KM2" t="s">
        <v>295</v>
      </c>
      <c r="KN2" t="s">
        <v>296</v>
      </c>
      <c r="KO2" t="s">
        <v>297</v>
      </c>
      <c r="KP2" t="s">
        <v>298</v>
      </c>
      <c r="KQ2" t="s">
        <v>299</v>
      </c>
      <c r="KR2" t="s">
        <v>300</v>
      </c>
      <c r="KS2" t="s">
        <v>301</v>
      </c>
      <c r="KT2" t="s">
        <v>302</v>
      </c>
      <c r="KU2" t="s">
        <v>303</v>
      </c>
      <c r="KV2" t="s">
        <v>304</v>
      </c>
      <c r="KW2" t="s">
        <v>305</v>
      </c>
      <c r="KX2" t="s">
        <v>306</v>
      </c>
      <c r="KY2" t="s">
        <v>307</v>
      </c>
      <c r="KZ2" t="s">
        <v>308</v>
      </c>
      <c r="LA2" t="s">
        <v>309</v>
      </c>
      <c r="LB2" t="s">
        <v>310</v>
      </c>
      <c r="LC2" t="s">
        <v>24</v>
      </c>
      <c r="LD2" t="s">
        <v>25</v>
      </c>
      <c r="LE2" t="s">
        <v>26</v>
      </c>
      <c r="LF2" t="s">
        <v>27</v>
      </c>
      <c r="LG2" t="s">
        <v>311</v>
      </c>
      <c r="LH2" t="s">
        <v>29</v>
      </c>
      <c r="LI2" t="s">
        <v>30</v>
      </c>
      <c r="LJ2" t="s">
        <v>31</v>
      </c>
      <c r="LK2" t="s">
        <v>35</v>
      </c>
      <c r="LL2" t="s">
        <v>312</v>
      </c>
      <c r="LM2" t="s">
        <v>313</v>
      </c>
      <c r="LN2" t="s">
        <v>314</v>
      </c>
      <c r="LO2" t="s">
        <v>315</v>
      </c>
      <c r="LP2" t="s">
        <v>316</v>
      </c>
      <c r="LQ2" t="s">
        <v>317</v>
      </c>
      <c r="LR2" t="s">
        <v>318</v>
      </c>
      <c r="LS2" t="s">
        <v>319</v>
      </c>
      <c r="LT2" t="s">
        <v>320</v>
      </c>
      <c r="LU2" t="s">
        <v>321</v>
      </c>
      <c r="LV2" t="s">
        <v>322</v>
      </c>
      <c r="LW2" t="s">
        <v>323</v>
      </c>
      <c r="LX2" t="s">
        <v>324</v>
      </c>
      <c r="LY2" t="s">
        <v>325</v>
      </c>
      <c r="LZ2" t="s">
        <v>326</v>
      </c>
      <c r="MA2" t="s">
        <v>327</v>
      </c>
      <c r="MB2" t="s">
        <v>328</v>
      </c>
      <c r="MC2" t="s">
        <v>329</v>
      </c>
    </row>
    <row r="3" spans="1:363" x14ac:dyDescent="0.25">
      <c r="A3" t="s">
        <v>330</v>
      </c>
      <c r="B3" t="s">
        <v>0</v>
      </c>
      <c r="C3" t="s">
        <v>1</v>
      </c>
      <c r="D3" t="s">
        <v>2</v>
      </c>
      <c r="E3" t="s">
        <v>3</v>
      </c>
      <c r="F3" t="s">
        <v>330</v>
      </c>
      <c r="G3" t="s">
        <v>331</v>
      </c>
      <c r="H3" t="s">
        <v>332</v>
      </c>
      <c r="I3" t="s">
        <v>333</v>
      </c>
      <c r="J3" t="s">
        <v>334</v>
      </c>
      <c r="K3" t="s">
        <v>335</v>
      </c>
      <c r="L3" t="s">
        <v>336</v>
      </c>
      <c r="M3" t="s">
        <v>337</v>
      </c>
      <c r="N3" t="s">
        <v>338</v>
      </c>
      <c r="O3" t="s">
        <v>339</v>
      </c>
      <c r="P3" t="s">
        <v>340</v>
      </c>
      <c r="Q3" t="s">
        <v>341</v>
      </c>
      <c r="R3" t="s">
        <v>342</v>
      </c>
      <c r="S3" t="s">
        <v>343</v>
      </c>
      <c r="T3" t="s">
        <v>344</v>
      </c>
      <c r="U3" t="s">
        <v>345</v>
      </c>
      <c r="V3" t="s">
        <v>346</v>
      </c>
      <c r="W3" t="s">
        <v>347</v>
      </c>
      <c r="X3" t="s">
        <v>348</v>
      </c>
      <c r="Y3" t="s">
        <v>349</v>
      </c>
      <c r="Z3" t="s">
        <v>350</v>
      </c>
      <c r="AA3" t="s">
        <v>351</v>
      </c>
      <c r="AB3" t="s">
        <v>352</v>
      </c>
      <c r="AC3" t="s">
        <v>353</v>
      </c>
      <c r="AD3" t="s">
        <v>354</v>
      </c>
      <c r="AE3" t="s">
        <v>355</v>
      </c>
      <c r="AF3" t="s">
        <v>356</v>
      </c>
      <c r="AG3" t="s">
        <v>357</v>
      </c>
      <c r="AH3" t="s">
        <v>358</v>
      </c>
      <c r="AI3" t="s">
        <v>359</v>
      </c>
      <c r="AJ3" t="s">
        <v>360</v>
      </c>
      <c r="AK3" t="s">
        <v>361</v>
      </c>
      <c r="AL3" t="s">
        <v>362</v>
      </c>
      <c r="AM3" t="s">
        <v>363</v>
      </c>
      <c r="AN3" t="s">
        <v>364</v>
      </c>
      <c r="AO3" t="s">
        <v>365</v>
      </c>
      <c r="AP3" t="s">
        <v>366</v>
      </c>
      <c r="AQ3" t="s">
        <v>367</v>
      </c>
      <c r="AR3" t="s">
        <v>368</v>
      </c>
      <c r="AS3" t="s">
        <v>369</v>
      </c>
      <c r="AT3" t="s">
        <v>370</v>
      </c>
      <c r="AU3" t="s">
        <v>371</v>
      </c>
      <c r="AV3" t="s">
        <v>372</v>
      </c>
      <c r="AW3" t="s">
        <v>373</v>
      </c>
      <c r="AX3" t="s">
        <v>374</v>
      </c>
      <c r="AY3" t="s">
        <v>375</v>
      </c>
      <c r="AZ3" t="s">
        <v>376</v>
      </c>
      <c r="BA3" t="s">
        <v>377</v>
      </c>
      <c r="BB3" t="s">
        <v>378</v>
      </c>
      <c r="BC3" t="s">
        <v>379</v>
      </c>
      <c r="BD3" t="s">
        <v>380</v>
      </c>
      <c r="BE3" t="s">
        <v>381</v>
      </c>
      <c r="BF3" t="s">
        <v>382</v>
      </c>
      <c r="BG3" t="s">
        <v>383</v>
      </c>
      <c r="BH3" t="s">
        <v>384</v>
      </c>
      <c r="BI3" t="s">
        <v>385</v>
      </c>
      <c r="BJ3" t="s">
        <v>386</v>
      </c>
      <c r="BK3" t="s">
        <v>387</v>
      </c>
      <c r="BL3" t="s">
        <v>388</v>
      </c>
      <c r="BM3" t="s">
        <v>389</v>
      </c>
      <c r="BN3" t="s">
        <v>390</v>
      </c>
      <c r="BO3" t="s">
        <v>391</v>
      </c>
      <c r="BP3" t="s">
        <v>392</v>
      </c>
      <c r="BQ3" t="s">
        <v>393</v>
      </c>
      <c r="BR3" t="s">
        <v>394</v>
      </c>
      <c r="BS3" t="s">
        <v>395</v>
      </c>
      <c r="BT3" t="s">
        <v>396</v>
      </c>
      <c r="BU3" t="s">
        <v>397</v>
      </c>
      <c r="BV3" t="s">
        <v>398</v>
      </c>
      <c r="BW3" t="s">
        <v>399</v>
      </c>
      <c r="BX3" t="s">
        <v>400</v>
      </c>
      <c r="BY3" t="s">
        <v>401</v>
      </c>
      <c r="BZ3" t="s">
        <v>402</v>
      </c>
      <c r="CA3" t="s">
        <v>403</v>
      </c>
      <c r="CB3" t="s">
        <v>404</v>
      </c>
      <c r="CC3" t="s">
        <v>405</v>
      </c>
      <c r="CD3" t="s">
        <v>406</v>
      </c>
      <c r="CE3" t="s">
        <v>407</v>
      </c>
      <c r="CF3" t="s">
        <v>408</v>
      </c>
      <c r="CG3" t="s">
        <v>409</v>
      </c>
      <c r="CH3" t="s">
        <v>410</v>
      </c>
      <c r="CI3" t="s">
        <v>411</v>
      </c>
      <c r="CJ3" t="s">
        <v>412</v>
      </c>
      <c r="CK3" t="s">
        <v>413</v>
      </c>
      <c r="CL3" t="s">
        <v>414</v>
      </c>
      <c r="CM3" t="s">
        <v>415</v>
      </c>
      <c r="CN3" t="s">
        <v>416</v>
      </c>
      <c r="CO3" t="s">
        <v>417</v>
      </c>
      <c r="CP3" t="s">
        <v>418</v>
      </c>
      <c r="CQ3" t="s">
        <v>419</v>
      </c>
      <c r="CR3" t="s">
        <v>420</v>
      </c>
      <c r="CS3" t="s">
        <v>421</v>
      </c>
      <c r="CT3" t="s">
        <v>422</v>
      </c>
      <c r="CU3" t="s">
        <v>423</v>
      </c>
      <c r="CV3" t="s">
        <v>424</v>
      </c>
      <c r="CW3" t="s">
        <v>425</v>
      </c>
      <c r="CX3" t="s">
        <v>426</v>
      </c>
      <c r="CY3" t="s">
        <v>427</v>
      </c>
      <c r="CZ3" t="s">
        <v>428</v>
      </c>
      <c r="DA3" t="s">
        <v>429</v>
      </c>
      <c r="DB3" t="s">
        <v>430</v>
      </c>
      <c r="DC3" t="s">
        <v>431</v>
      </c>
      <c r="DD3" t="s">
        <v>432</v>
      </c>
      <c r="DE3" t="s">
        <v>433</v>
      </c>
      <c r="DF3" t="s">
        <v>434</v>
      </c>
      <c r="DG3" t="s">
        <v>435</v>
      </c>
      <c r="DH3" t="s">
        <v>436</v>
      </c>
      <c r="DI3" t="s">
        <v>437</v>
      </c>
      <c r="DJ3" t="s">
        <v>438</v>
      </c>
      <c r="DK3" t="s">
        <v>439</v>
      </c>
      <c r="DL3" t="s">
        <v>440</v>
      </c>
      <c r="DM3" t="s">
        <v>441</v>
      </c>
      <c r="DN3" t="s">
        <v>442</v>
      </c>
      <c r="DO3" t="s">
        <v>443</v>
      </c>
      <c r="DP3" t="s">
        <v>444</v>
      </c>
      <c r="DQ3" t="s">
        <v>445</v>
      </c>
      <c r="DR3" t="s">
        <v>446</v>
      </c>
      <c r="DS3" t="s">
        <v>447</v>
      </c>
      <c r="DT3" t="s">
        <v>448</v>
      </c>
      <c r="DU3" t="s">
        <v>449</v>
      </c>
      <c r="DV3" t="s">
        <v>450</v>
      </c>
      <c r="DW3" t="s">
        <v>451</v>
      </c>
      <c r="DX3" t="s">
        <v>452</v>
      </c>
      <c r="DY3" t="s">
        <v>453</v>
      </c>
      <c r="DZ3" t="s">
        <v>454</v>
      </c>
      <c r="EA3" t="s">
        <v>455</v>
      </c>
      <c r="EB3" t="s">
        <v>456</v>
      </c>
      <c r="EC3" t="s">
        <v>457</v>
      </c>
      <c r="ED3" t="s">
        <v>458</v>
      </c>
      <c r="EE3" t="s">
        <v>459</v>
      </c>
      <c r="EF3" t="s">
        <v>460</v>
      </c>
      <c r="EG3" t="s">
        <v>461</v>
      </c>
      <c r="EH3" t="s">
        <v>462</v>
      </c>
      <c r="EI3" t="s">
        <v>463</v>
      </c>
      <c r="EJ3" t="s">
        <v>464</v>
      </c>
      <c r="EK3" t="s">
        <v>465</v>
      </c>
      <c r="EL3" t="s">
        <v>466</v>
      </c>
      <c r="EM3" t="s">
        <v>467</v>
      </c>
      <c r="EN3" t="s">
        <v>468</v>
      </c>
      <c r="EO3" t="s">
        <v>469</v>
      </c>
      <c r="EP3" t="s">
        <v>470</v>
      </c>
      <c r="EQ3" t="s">
        <v>471</v>
      </c>
      <c r="ER3" t="s">
        <v>472</v>
      </c>
      <c r="ES3" t="s">
        <v>473</v>
      </c>
      <c r="ET3" t="s">
        <v>474</v>
      </c>
      <c r="EU3" t="s">
        <v>475</v>
      </c>
      <c r="EV3" t="s">
        <v>476</v>
      </c>
      <c r="EW3" t="s">
        <v>477</v>
      </c>
      <c r="EX3" t="s">
        <v>478</v>
      </c>
      <c r="EY3" t="s">
        <v>479</v>
      </c>
      <c r="EZ3" t="s">
        <v>480</v>
      </c>
      <c r="FA3" t="s">
        <v>481</v>
      </c>
      <c r="FB3" t="s">
        <v>482</v>
      </c>
      <c r="FC3" t="s">
        <v>483</v>
      </c>
      <c r="FD3" t="s">
        <v>484</v>
      </c>
      <c r="FE3" t="s">
        <v>485</v>
      </c>
      <c r="FF3" t="s">
        <v>486</v>
      </c>
      <c r="FG3" t="s">
        <v>487</v>
      </c>
      <c r="FH3" t="s">
        <v>488</v>
      </c>
      <c r="FI3" t="s">
        <v>489</v>
      </c>
      <c r="FJ3" t="s">
        <v>490</v>
      </c>
      <c r="FK3" t="s">
        <v>491</v>
      </c>
      <c r="FL3" t="s">
        <v>492</v>
      </c>
      <c r="FM3" t="s">
        <v>493</v>
      </c>
      <c r="FN3" t="s">
        <v>494</v>
      </c>
      <c r="FO3" t="s">
        <v>495</v>
      </c>
      <c r="FP3" t="s">
        <v>496</v>
      </c>
      <c r="FQ3" t="s">
        <v>497</v>
      </c>
      <c r="FR3" t="s">
        <v>498</v>
      </c>
      <c r="FS3" t="s">
        <v>499</v>
      </c>
      <c r="FT3" t="s">
        <v>500</v>
      </c>
      <c r="FU3" t="s">
        <v>501</v>
      </c>
      <c r="FV3" t="s">
        <v>502</v>
      </c>
      <c r="FW3" t="s">
        <v>503</v>
      </c>
      <c r="FX3" t="s">
        <v>504</v>
      </c>
      <c r="FY3" t="s">
        <v>505</v>
      </c>
      <c r="FZ3" t="s">
        <v>506</v>
      </c>
      <c r="GA3" t="s">
        <v>507</v>
      </c>
      <c r="GB3" t="s">
        <v>508</v>
      </c>
      <c r="GC3" t="s">
        <v>509</v>
      </c>
      <c r="GD3" t="s">
        <v>510</v>
      </c>
      <c r="GE3" t="s">
        <v>511</v>
      </c>
      <c r="GF3" t="s">
        <v>512</v>
      </c>
      <c r="GG3" t="s">
        <v>513</v>
      </c>
      <c r="GH3" t="s">
        <v>514</v>
      </c>
      <c r="GI3" t="s">
        <v>515</v>
      </c>
      <c r="GJ3" t="s">
        <v>516</v>
      </c>
      <c r="GK3" t="s">
        <v>517</v>
      </c>
      <c r="GL3" t="s">
        <v>518</v>
      </c>
      <c r="GM3" t="s">
        <v>519</v>
      </c>
      <c r="GN3" t="s">
        <v>520</v>
      </c>
      <c r="GO3" t="s">
        <v>521</v>
      </c>
      <c r="GP3" t="s">
        <v>522</v>
      </c>
      <c r="GQ3" t="s">
        <v>523</v>
      </c>
      <c r="GR3" t="s">
        <v>524</v>
      </c>
      <c r="GS3" t="s">
        <v>525</v>
      </c>
      <c r="GT3" t="s">
        <v>526</v>
      </c>
      <c r="GU3" t="s">
        <v>527</v>
      </c>
      <c r="GV3" t="s">
        <v>528</v>
      </c>
      <c r="GW3" t="s">
        <v>529</v>
      </c>
      <c r="GX3" t="s">
        <v>530</v>
      </c>
      <c r="GY3" t="s">
        <v>531</v>
      </c>
      <c r="GZ3" t="s">
        <v>532</v>
      </c>
      <c r="HA3" t="s">
        <v>533</v>
      </c>
      <c r="HB3" t="s">
        <v>534</v>
      </c>
      <c r="HC3" t="s">
        <v>535</v>
      </c>
      <c r="HD3" t="s">
        <v>536</v>
      </c>
      <c r="HE3" t="s">
        <v>537</v>
      </c>
      <c r="HF3" t="s">
        <v>538</v>
      </c>
      <c r="HG3" t="s">
        <v>539</v>
      </c>
      <c r="HH3" t="s">
        <v>540</v>
      </c>
      <c r="HI3" t="s">
        <v>541</v>
      </c>
      <c r="HJ3" t="s">
        <v>542</v>
      </c>
      <c r="HK3" t="s">
        <v>543</v>
      </c>
      <c r="HL3" t="s">
        <v>544</v>
      </c>
      <c r="HM3" t="s">
        <v>545</v>
      </c>
      <c r="HN3" t="s">
        <v>546</v>
      </c>
      <c r="HO3" t="s">
        <v>547</v>
      </c>
      <c r="HP3" t="s">
        <v>548</v>
      </c>
      <c r="HQ3" t="s">
        <v>549</v>
      </c>
      <c r="HR3" t="s">
        <v>550</v>
      </c>
      <c r="HS3" t="s">
        <v>551</v>
      </c>
      <c r="HT3" t="s">
        <v>552</v>
      </c>
      <c r="HU3" t="s">
        <v>553</v>
      </c>
      <c r="HV3" t="s">
        <v>554</v>
      </c>
      <c r="HW3" t="s">
        <v>555</v>
      </c>
      <c r="HX3" t="s">
        <v>556</v>
      </c>
      <c r="HY3" t="s">
        <v>557</v>
      </c>
      <c r="HZ3" t="s">
        <v>558</v>
      </c>
      <c r="IA3" t="s">
        <v>559</v>
      </c>
      <c r="IB3" t="s">
        <v>560</v>
      </c>
      <c r="IC3" t="s">
        <v>561</v>
      </c>
      <c r="ID3" t="s">
        <v>562</v>
      </c>
      <c r="IE3" t="s">
        <v>563</v>
      </c>
      <c r="IF3" t="s">
        <v>564</v>
      </c>
      <c r="IG3" t="s">
        <v>565</v>
      </c>
      <c r="IH3" t="s">
        <v>566</v>
      </c>
      <c r="II3" t="s">
        <v>567</v>
      </c>
      <c r="IJ3" t="s">
        <v>568</v>
      </c>
      <c r="IK3" t="s">
        <v>569</v>
      </c>
      <c r="IL3" t="s">
        <v>570</v>
      </c>
      <c r="IM3" t="s">
        <v>571</v>
      </c>
      <c r="IN3" t="s">
        <v>572</v>
      </c>
      <c r="IO3" t="s">
        <v>573</v>
      </c>
      <c r="IP3" t="s">
        <v>574</v>
      </c>
      <c r="IQ3" t="s">
        <v>575</v>
      </c>
      <c r="IR3" t="s">
        <v>576</v>
      </c>
      <c r="IS3" t="s">
        <v>577</v>
      </c>
      <c r="IT3" t="s">
        <v>578</v>
      </c>
      <c r="IU3" t="s">
        <v>579</v>
      </c>
      <c r="IV3" t="s">
        <v>580</v>
      </c>
      <c r="IW3" t="s">
        <v>581</v>
      </c>
      <c r="IX3" t="s">
        <v>582</v>
      </c>
      <c r="IY3" t="s">
        <v>583</v>
      </c>
      <c r="IZ3" t="s">
        <v>584</v>
      </c>
      <c r="JA3" t="s">
        <v>585</v>
      </c>
      <c r="JB3" t="s">
        <v>586</v>
      </c>
      <c r="JC3" t="s">
        <v>587</v>
      </c>
      <c r="JD3" t="s">
        <v>588</v>
      </c>
      <c r="JE3" t="s">
        <v>589</v>
      </c>
      <c r="JF3" t="s">
        <v>590</v>
      </c>
      <c r="JG3" t="s">
        <v>591</v>
      </c>
      <c r="JH3" t="s">
        <v>592</v>
      </c>
      <c r="JI3" t="s">
        <v>593</v>
      </c>
      <c r="JJ3" t="s">
        <v>594</v>
      </c>
      <c r="JK3" t="s">
        <v>595</v>
      </c>
      <c r="JL3" t="s">
        <v>596</v>
      </c>
      <c r="JM3" t="s">
        <v>597</v>
      </c>
      <c r="JN3" t="s">
        <v>598</v>
      </c>
      <c r="JO3" t="s">
        <v>599</v>
      </c>
      <c r="JP3" t="s">
        <v>600</v>
      </c>
      <c r="JQ3" t="s">
        <v>601</v>
      </c>
      <c r="JR3" t="s">
        <v>602</v>
      </c>
      <c r="JS3" t="s">
        <v>603</v>
      </c>
      <c r="JT3" t="s">
        <v>604</v>
      </c>
      <c r="JU3" t="s">
        <v>605</v>
      </c>
      <c r="JV3" t="s">
        <v>606</v>
      </c>
      <c r="JW3" t="s">
        <v>607</v>
      </c>
      <c r="JX3" t="s">
        <v>608</v>
      </c>
      <c r="JY3" t="s">
        <v>609</v>
      </c>
      <c r="JZ3" t="s">
        <v>610</v>
      </c>
      <c r="KA3" t="s">
        <v>611</v>
      </c>
      <c r="KB3" t="s">
        <v>612</v>
      </c>
      <c r="KC3" t="s">
        <v>613</v>
      </c>
      <c r="KD3" t="s">
        <v>614</v>
      </c>
      <c r="KE3" t="s">
        <v>615</v>
      </c>
      <c r="KF3" t="s">
        <v>616</v>
      </c>
      <c r="KG3" t="s">
        <v>617</v>
      </c>
      <c r="KH3" t="s">
        <v>618</v>
      </c>
      <c r="KI3" t="s">
        <v>619</v>
      </c>
      <c r="KJ3" t="s">
        <v>620</v>
      </c>
      <c r="KK3" t="s">
        <v>621</v>
      </c>
      <c r="KL3" t="s">
        <v>622</v>
      </c>
      <c r="KM3" t="s">
        <v>623</v>
      </c>
      <c r="KN3" t="s">
        <v>624</v>
      </c>
      <c r="KO3" t="s">
        <v>625</v>
      </c>
      <c r="KP3" t="s">
        <v>626</v>
      </c>
      <c r="KQ3" t="s">
        <v>627</v>
      </c>
      <c r="KR3" t="s">
        <v>628</v>
      </c>
      <c r="KS3" t="s">
        <v>629</v>
      </c>
      <c r="KT3" t="s">
        <v>630</v>
      </c>
      <c r="KU3" t="s">
        <v>631</v>
      </c>
      <c r="KV3" t="s">
        <v>632</v>
      </c>
      <c r="KW3" t="s">
        <v>633</v>
      </c>
      <c r="KX3" t="s">
        <v>634</v>
      </c>
      <c r="KY3" t="s">
        <v>635</v>
      </c>
      <c r="KZ3" t="s">
        <v>636</v>
      </c>
      <c r="LA3" t="s">
        <v>637</v>
      </c>
      <c r="LB3" t="s">
        <v>638</v>
      </c>
      <c r="LC3" t="s">
        <v>639</v>
      </c>
      <c r="LD3" t="s">
        <v>640</v>
      </c>
      <c r="LE3" t="s">
        <v>641</v>
      </c>
      <c r="LF3" t="s">
        <v>642</v>
      </c>
      <c r="LG3" t="s">
        <v>643</v>
      </c>
      <c r="LH3" t="s">
        <v>644</v>
      </c>
      <c r="LI3" t="s">
        <v>645</v>
      </c>
      <c r="LJ3" t="s">
        <v>646</v>
      </c>
      <c r="LK3" t="s">
        <v>647</v>
      </c>
      <c r="LL3" t="s">
        <v>648</v>
      </c>
      <c r="LM3" t="s">
        <v>649</v>
      </c>
      <c r="LN3" t="s">
        <v>650</v>
      </c>
      <c r="LO3" t="s">
        <v>651</v>
      </c>
      <c r="LP3" t="s">
        <v>652</v>
      </c>
      <c r="LQ3" t="s">
        <v>653</v>
      </c>
      <c r="LR3" t="s">
        <v>654</v>
      </c>
      <c r="LS3" t="s">
        <v>655</v>
      </c>
      <c r="LT3" t="s">
        <v>656</v>
      </c>
      <c r="LU3" t="s">
        <v>657</v>
      </c>
      <c r="LV3" t="s">
        <v>658</v>
      </c>
      <c r="LW3" t="s">
        <v>659</v>
      </c>
      <c r="LX3" t="s">
        <v>660</v>
      </c>
      <c r="LY3" t="s">
        <v>661</v>
      </c>
      <c r="LZ3" t="s">
        <v>662</v>
      </c>
      <c r="MA3" t="s">
        <v>663</v>
      </c>
      <c r="MB3" t="s">
        <v>664</v>
      </c>
      <c r="MC3" t="s">
        <v>665</v>
      </c>
    </row>
    <row r="4" spans="1:363" x14ac:dyDescent="0.25">
      <c r="A4" t="s">
        <v>666</v>
      </c>
      <c r="B4">
        <v>0</v>
      </c>
      <c r="C4">
        <v>1375</v>
      </c>
      <c r="D4">
        <v>2017</v>
      </c>
      <c r="E4">
        <v>0</v>
      </c>
      <c r="F4" t="s">
        <v>666</v>
      </c>
      <c r="G4" t="s">
        <v>667</v>
      </c>
      <c r="H4" t="s">
        <v>668</v>
      </c>
      <c r="I4" t="s">
        <v>669</v>
      </c>
      <c r="J4" t="s">
        <v>670</v>
      </c>
      <c r="K4" t="s">
        <v>671</v>
      </c>
      <c r="L4" t="s">
        <v>672</v>
      </c>
      <c r="M4" t="s">
        <v>673</v>
      </c>
      <c r="N4" s="1">
        <v>157522</v>
      </c>
      <c r="O4" t="s">
        <v>674</v>
      </c>
      <c r="P4" s="1">
        <v>1580</v>
      </c>
      <c r="Q4">
        <v>228</v>
      </c>
      <c r="R4">
        <v>185</v>
      </c>
      <c r="S4">
        <v>19</v>
      </c>
      <c r="T4" s="1">
        <v>5327</v>
      </c>
      <c r="U4">
        <v>173</v>
      </c>
      <c r="V4" s="1">
        <v>53695</v>
      </c>
      <c r="W4" s="1">
        <v>6594</v>
      </c>
      <c r="X4" s="1">
        <v>187121</v>
      </c>
      <c r="Y4" s="1">
        <v>31530</v>
      </c>
      <c r="Z4" t="s">
        <v>675</v>
      </c>
      <c r="AA4" t="s">
        <v>676</v>
      </c>
      <c r="AB4">
        <v>27215</v>
      </c>
      <c r="AC4">
        <v>5863</v>
      </c>
      <c r="AD4" t="s">
        <v>675</v>
      </c>
      <c r="AE4" t="s">
        <v>676</v>
      </c>
      <c r="AF4">
        <v>27215</v>
      </c>
      <c r="AG4">
        <v>2</v>
      </c>
      <c r="AH4" t="s">
        <v>677</v>
      </c>
      <c r="AJ4" t="s">
        <v>35</v>
      </c>
      <c r="AK4" t="s">
        <v>678</v>
      </c>
      <c r="AL4" t="s">
        <v>679</v>
      </c>
      <c r="AM4" t="s">
        <v>680</v>
      </c>
      <c r="AN4" t="s">
        <v>681</v>
      </c>
      <c r="AO4" t="s">
        <v>682</v>
      </c>
      <c r="AP4" t="s">
        <v>683</v>
      </c>
      <c r="AQ4" t="s">
        <v>684</v>
      </c>
      <c r="AR4" t="s">
        <v>685</v>
      </c>
      <c r="AS4" t="s">
        <v>681</v>
      </c>
      <c r="AT4" t="s">
        <v>686</v>
      </c>
      <c r="AU4" t="s">
        <v>687</v>
      </c>
      <c r="AV4">
        <v>0</v>
      </c>
      <c r="AW4">
        <v>0</v>
      </c>
      <c r="AX4">
        <v>0</v>
      </c>
      <c r="BC4">
        <v>1</v>
      </c>
      <c r="BD4">
        <v>4</v>
      </c>
      <c r="BE4">
        <v>0</v>
      </c>
      <c r="BF4">
        <v>0</v>
      </c>
      <c r="BG4">
        <v>5</v>
      </c>
      <c r="BI4" s="1">
        <v>11648</v>
      </c>
      <c r="BJ4">
        <v>10</v>
      </c>
      <c r="BK4">
        <v>0</v>
      </c>
      <c r="BL4">
        <v>10</v>
      </c>
      <c r="BM4">
        <v>35.380000000000003</v>
      </c>
      <c r="BN4">
        <v>45.38</v>
      </c>
      <c r="BO4" s="3">
        <v>0.22040000000000001</v>
      </c>
      <c r="BP4" s="1">
        <v>2432</v>
      </c>
      <c r="BQ4" s="4">
        <v>76404</v>
      </c>
      <c r="BU4" s="4">
        <v>42657</v>
      </c>
      <c r="BV4" s="4">
        <v>68253</v>
      </c>
      <c r="BW4" s="4">
        <v>55455</v>
      </c>
      <c r="BY4" s="4">
        <v>39062</v>
      </c>
      <c r="BZ4" s="4">
        <v>62501</v>
      </c>
      <c r="CA4" s="4">
        <v>50780</v>
      </c>
      <c r="CC4" s="4">
        <v>39062</v>
      </c>
      <c r="CD4" s="4">
        <v>62501</v>
      </c>
      <c r="CE4" s="1">
        <v>50780</v>
      </c>
      <c r="CG4" s="4">
        <v>46583</v>
      </c>
      <c r="CH4" s="4">
        <v>79534</v>
      </c>
      <c r="CI4" s="4">
        <v>60559</v>
      </c>
      <c r="DK4" s="4">
        <v>32756</v>
      </c>
      <c r="DL4" s="4">
        <v>52410</v>
      </c>
      <c r="DM4" s="4">
        <v>42583</v>
      </c>
      <c r="DO4" s="4">
        <v>25155</v>
      </c>
      <c r="DP4" s="4">
        <v>46245</v>
      </c>
      <c r="DQ4" s="4">
        <v>32699</v>
      </c>
      <c r="DV4" s="4">
        <v>232000</v>
      </c>
      <c r="DW4" s="4">
        <v>2569447</v>
      </c>
      <c r="DX4" s="4">
        <v>2801447</v>
      </c>
      <c r="DY4" s="4">
        <v>180887</v>
      </c>
      <c r="DZ4" s="4">
        <v>0</v>
      </c>
      <c r="EA4" s="4">
        <v>180887</v>
      </c>
      <c r="EB4" s="4">
        <v>27383</v>
      </c>
      <c r="EC4" s="4">
        <v>9999</v>
      </c>
      <c r="ED4" s="4">
        <v>37382</v>
      </c>
      <c r="EE4" s="4">
        <v>101073</v>
      </c>
      <c r="EF4" s="4">
        <v>3120789</v>
      </c>
      <c r="EG4" s="4">
        <v>1595405</v>
      </c>
      <c r="EH4" s="4">
        <v>496319</v>
      </c>
      <c r="EI4" s="4">
        <v>2091724</v>
      </c>
      <c r="EJ4" s="4">
        <v>145027</v>
      </c>
      <c r="EK4" s="4">
        <v>29106</v>
      </c>
      <c r="EL4" s="4">
        <v>51234</v>
      </c>
      <c r="EM4" s="4">
        <v>225367</v>
      </c>
      <c r="EN4" s="4">
        <v>485299</v>
      </c>
      <c r="EO4" s="4">
        <v>2802390</v>
      </c>
      <c r="EP4" s="4">
        <v>318399</v>
      </c>
      <c r="EQ4" s="3">
        <v>0.10199999999999999</v>
      </c>
      <c r="ER4" s="4">
        <v>52334</v>
      </c>
      <c r="ES4" s="4">
        <v>0</v>
      </c>
      <c r="ET4" s="4">
        <v>0</v>
      </c>
      <c r="EU4" s="4">
        <v>0</v>
      </c>
      <c r="EV4" s="4">
        <v>52334</v>
      </c>
      <c r="EW4" s="4">
        <v>52334</v>
      </c>
      <c r="EX4" s="1">
        <v>50120</v>
      </c>
      <c r="EY4" s="1">
        <v>292309</v>
      </c>
      <c r="EZ4" s="1">
        <v>52481</v>
      </c>
      <c r="FA4" s="1">
        <v>8970</v>
      </c>
      <c r="FB4" s="1">
        <v>43869</v>
      </c>
      <c r="FC4" s="1">
        <v>50739</v>
      </c>
      <c r="FD4">
        <v>0</v>
      </c>
      <c r="FE4" s="1">
        <v>20723</v>
      </c>
      <c r="FF4" s="1">
        <v>103220</v>
      </c>
      <c r="FG4" s="1">
        <v>8970</v>
      </c>
      <c r="FH4" s="1">
        <v>64592</v>
      </c>
      <c r="FI4" s="1">
        <v>176782</v>
      </c>
      <c r="FJ4" s="1">
        <v>6391</v>
      </c>
      <c r="FK4">
        <v>280</v>
      </c>
      <c r="FM4" s="1">
        <v>176782</v>
      </c>
      <c r="FN4" s="1">
        <v>14685</v>
      </c>
      <c r="FO4" s="1">
        <v>26644</v>
      </c>
      <c r="FP4" s="1">
        <v>2022</v>
      </c>
      <c r="FQ4">
        <v>5</v>
      </c>
      <c r="FR4">
        <v>88</v>
      </c>
      <c r="FS4">
        <v>93</v>
      </c>
      <c r="FT4" s="1">
        <v>44141</v>
      </c>
      <c r="FU4" s="1">
        <v>3505</v>
      </c>
      <c r="FV4">
        <v>0</v>
      </c>
      <c r="FW4">
        <v>0</v>
      </c>
      <c r="FX4" s="1">
        <v>8544</v>
      </c>
      <c r="FY4" s="1">
        <v>1573</v>
      </c>
      <c r="FZ4">
        <v>322</v>
      </c>
      <c r="GA4">
        <v>0</v>
      </c>
      <c r="GE4">
        <v>0</v>
      </c>
      <c r="GJ4" s="1">
        <v>2003</v>
      </c>
      <c r="GK4" s="1">
        <v>5286</v>
      </c>
      <c r="GL4">
        <v>0</v>
      </c>
      <c r="GM4">
        <v>38</v>
      </c>
      <c r="GN4" s="1">
        <v>54688</v>
      </c>
      <c r="GO4" s="1">
        <v>10364</v>
      </c>
      <c r="GP4">
        <v>322</v>
      </c>
      <c r="GQ4">
        <v>38</v>
      </c>
      <c r="GR4">
        <v>136</v>
      </c>
      <c r="GT4" s="1">
        <v>174389</v>
      </c>
      <c r="GU4" s="1">
        <v>20176</v>
      </c>
      <c r="GV4" s="1">
        <v>165719</v>
      </c>
      <c r="GW4" s="1">
        <v>50012</v>
      </c>
      <c r="GX4">
        <v>0</v>
      </c>
      <c r="GY4" s="1">
        <v>32071</v>
      </c>
      <c r="GZ4" s="1">
        <v>224401</v>
      </c>
      <c r="HA4" s="1">
        <v>20176</v>
      </c>
      <c r="HB4" s="1">
        <v>197790</v>
      </c>
      <c r="HC4" s="1">
        <v>442367</v>
      </c>
      <c r="HD4" s="1">
        <v>6178</v>
      </c>
      <c r="HE4" s="1">
        <v>448916</v>
      </c>
      <c r="HF4" s="1">
        <v>53439</v>
      </c>
      <c r="HG4" s="1">
        <v>295897</v>
      </c>
      <c r="HH4">
        <v>371</v>
      </c>
      <c r="HI4" s="1">
        <v>13415</v>
      </c>
      <c r="HJ4" s="1">
        <v>362751</v>
      </c>
      <c r="HK4" s="1">
        <v>811667</v>
      </c>
      <c r="HL4">
        <v>217</v>
      </c>
      <c r="HM4" s="1">
        <v>10872</v>
      </c>
      <c r="HN4" s="1">
        <v>11089</v>
      </c>
      <c r="HO4" s="1">
        <v>2095</v>
      </c>
      <c r="HP4" s="1">
        <v>5992</v>
      </c>
      <c r="HQ4" s="1">
        <v>8087</v>
      </c>
      <c r="HR4">
        <v>0</v>
      </c>
      <c r="HS4">
        <v>0</v>
      </c>
      <c r="HT4">
        <v>0</v>
      </c>
      <c r="HU4" s="1">
        <v>3333</v>
      </c>
      <c r="HV4" s="1">
        <v>22509</v>
      </c>
      <c r="HW4" s="1">
        <v>64096</v>
      </c>
      <c r="HX4" s="1">
        <v>90030</v>
      </c>
      <c r="HY4" s="1">
        <v>154126</v>
      </c>
      <c r="HZ4" s="1">
        <v>176635</v>
      </c>
      <c r="IA4" s="1">
        <v>61526</v>
      </c>
      <c r="IB4" s="1">
        <v>357423</v>
      </c>
      <c r="IC4" s="1">
        <v>834176</v>
      </c>
      <c r="ID4" s="1">
        <v>834176</v>
      </c>
      <c r="IE4" s="1">
        <v>988302</v>
      </c>
      <c r="IF4" s="1">
        <v>217966</v>
      </c>
      <c r="IG4" s="1">
        <v>2991</v>
      </c>
      <c r="IJ4">
        <v>1</v>
      </c>
      <c r="IK4" s="3">
        <v>9.2299999999999993E-2</v>
      </c>
      <c r="IL4" s="3">
        <v>1E-3</v>
      </c>
      <c r="IM4" s="3">
        <v>0.2238</v>
      </c>
      <c r="IN4" s="3">
        <v>0</v>
      </c>
      <c r="IO4" s="3">
        <v>0.18709999999999999</v>
      </c>
      <c r="IP4" s="3">
        <v>2.9999999999999997E-4</v>
      </c>
      <c r="IQ4" s="3">
        <v>0.6048</v>
      </c>
      <c r="IR4" s="3">
        <v>8.5699999999999998E-2</v>
      </c>
      <c r="IS4" s="3">
        <v>0.26129999999999998</v>
      </c>
      <c r="IT4" s="1">
        <v>55332</v>
      </c>
      <c r="IU4" s="1">
        <v>41418</v>
      </c>
      <c r="IV4" s="1">
        <v>96750</v>
      </c>
      <c r="IW4" s="3">
        <v>0.61419999999999997</v>
      </c>
      <c r="IX4" s="1">
        <v>547012</v>
      </c>
      <c r="IZ4">
        <v>639</v>
      </c>
      <c r="JA4">
        <v>77</v>
      </c>
      <c r="JB4">
        <v>805</v>
      </c>
      <c r="JC4">
        <v>65</v>
      </c>
      <c r="JD4">
        <v>1</v>
      </c>
      <c r="JE4">
        <v>90</v>
      </c>
      <c r="JF4">
        <v>704</v>
      </c>
      <c r="JG4">
        <v>78</v>
      </c>
      <c r="JH4">
        <v>895</v>
      </c>
      <c r="JI4" s="1">
        <v>1677</v>
      </c>
      <c r="JJ4" s="1">
        <v>1521</v>
      </c>
      <c r="JK4">
        <v>156</v>
      </c>
      <c r="JL4" s="1">
        <v>5052</v>
      </c>
      <c r="JM4">
        <v>831</v>
      </c>
      <c r="JN4" s="1">
        <v>24210</v>
      </c>
      <c r="JO4" s="1">
        <v>2609</v>
      </c>
      <c r="JP4">
        <v>252</v>
      </c>
      <c r="JQ4" s="1">
        <v>10573</v>
      </c>
      <c r="JR4" s="1">
        <v>7661</v>
      </c>
      <c r="JS4" s="1">
        <v>1083</v>
      </c>
      <c r="JT4" s="1">
        <v>34783</v>
      </c>
      <c r="JU4" s="1">
        <v>43527</v>
      </c>
      <c r="JV4" s="1">
        <v>30093</v>
      </c>
      <c r="JW4" s="1">
        <v>13434</v>
      </c>
      <c r="JX4">
        <v>25.96</v>
      </c>
      <c r="JY4">
        <v>10.88</v>
      </c>
      <c r="JZ4">
        <v>38.86</v>
      </c>
      <c r="KA4">
        <v>0.18</v>
      </c>
      <c r="KB4">
        <v>0.8</v>
      </c>
      <c r="KC4">
        <v>237</v>
      </c>
      <c r="KD4" s="1">
        <v>1251</v>
      </c>
      <c r="KE4">
        <v>124</v>
      </c>
      <c r="KF4">
        <v>702</v>
      </c>
      <c r="KM4" s="1">
        <v>70164</v>
      </c>
      <c r="KN4" s="1">
        <v>27006</v>
      </c>
      <c r="KO4" s="1">
        <v>3909</v>
      </c>
      <c r="KQ4">
        <v>262</v>
      </c>
      <c r="KR4" s="1">
        <v>2905</v>
      </c>
      <c r="KS4">
        <v>265</v>
      </c>
      <c r="KT4">
        <v>237</v>
      </c>
      <c r="KU4">
        <v>79</v>
      </c>
      <c r="KV4">
        <v>158</v>
      </c>
      <c r="KW4" s="1">
        <v>110252</v>
      </c>
      <c r="KY4" s="1">
        <v>319913</v>
      </c>
      <c r="LC4" t="s">
        <v>688</v>
      </c>
      <c r="LD4" t="s">
        <v>689</v>
      </c>
      <c r="LE4" t="s">
        <v>675</v>
      </c>
      <c r="LF4" t="s">
        <v>676</v>
      </c>
      <c r="LG4">
        <v>27215</v>
      </c>
      <c r="LH4">
        <v>5863</v>
      </c>
      <c r="LI4" t="s">
        <v>675</v>
      </c>
      <c r="LJ4" t="s">
        <v>676</v>
      </c>
      <c r="LK4">
        <v>27215</v>
      </c>
      <c r="LL4">
        <v>5863</v>
      </c>
      <c r="LM4" t="s">
        <v>678</v>
      </c>
      <c r="LN4">
        <v>3362293588</v>
      </c>
      <c r="LP4" s="1">
        <v>56056</v>
      </c>
      <c r="LQ4">
        <v>45.37</v>
      </c>
      <c r="LS4" s="1">
        <v>11648</v>
      </c>
      <c r="LT4">
        <v>52</v>
      </c>
      <c r="LW4">
        <v>2</v>
      </c>
      <c r="LX4" t="s">
        <v>690</v>
      </c>
      <c r="LY4">
        <v>0</v>
      </c>
      <c r="LZ4" t="s">
        <v>691</v>
      </c>
      <c r="MA4">
        <v>284.77999999999997</v>
      </c>
      <c r="MB4">
        <v>258.87</v>
      </c>
    </row>
    <row r="5" spans="1:363" x14ac:dyDescent="0.25">
      <c r="A5" t="s">
        <v>692</v>
      </c>
      <c r="B5">
        <v>0</v>
      </c>
      <c r="C5">
        <v>1375</v>
      </c>
      <c r="D5">
        <v>2017</v>
      </c>
      <c r="E5">
        <v>0</v>
      </c>
      <c r="F5" t="s">
        <v>692</v>
      </c>
      <c r="G5" t="s">
        <v>693</v>
      </c>
      <c r="H5" t="s">
        <v>668</v>
      </c>
      <c r="I5" t="s">
        <v>694</v>
      </c>
      <c r="J5" t="s">
        <v>670</v>
      </c>
      <c r="K5" t="s">
        <v>671</v>
      </c>
      <c r="L5" t="s">
        <v>695</v>
      </c>
      <c r="M5" t="s">
        <v>673</v>
      </c>
      <c r="N5" s="1">
        <v>77771</v>
      </c>
      <c r="O5" t="s">
        <v>674</v>
      </c>
      <c r="P5">
        <v>851</v>
      </c>
      <c r="Q5">
        <v>10</v>
      </c>
      <c r="R5">
        <v>90</v>
      </c>
      <c r="S5">
        <v>0</v>
      </c>
      <c r="T5" s="1">
        <v>2196</v>
      </c>
      <c r="U5">
        <v>65</v>
      </c>
      <c r="V5" s="1">
        <v>7018</v>
      </c>
      <c r="W5" s="1">
        <v>1002</v>
      </c>
      <c r="Z5" t="s">
        <v>696</v>
      </c>
      <c r="AA5" t="s">
        <v>697</v>
      </c>
      <c r="AB5">
        <v>27986</v>
      </c>
      <c r="AC5">
        <v>68</v>
      </c>
      <c r="AD5" t="s">
        <v>698</v>
      </c>
      <c r="AE5" t="s">
        <v>697</v>
      </c>
      <c r="AF5">
        <v>27986</v>
      </c>
      <c r="AG5">
        <v>1</v>
      </c>
      <c r="AH5" t="s">
        <v>699</v>
      </c>
      <c r="AJ5" t="s">
        <v>700</v>
      </c>
      <c r="AK5" t="s">
        <v>701</v>
      </c>
      <c r="AL5" t="s">
        <v>702</v>
      </c>
      <c r="AM5" t="s">
        <v>703</v>
      </c>
      <c r="AN5" t="s">
        <v>704</v>
      </c>
      <c r="AO5" t="s">
        <v>705</v>
      </c>
      <c r="AP5" t="s">
        <v>702</v>
      </c>
      <c r="AQ5" t="s">
        <v>706</v>
      </c>
      <c r="AR5" t="s">
        <v>703</v>
      </c>
      <c r="AS5" t="s">
        <v>704</v>
      </c>
      <c r="AT5" t="s">
        <v>705</v>
      </c>
      <c r="AU5" t="s">
        <v>707</v>
      </c>
      <c r="BC5">
        <v>1</v>
      </c>
      <c r="BD5">
        <v>6</v>
      </c>
      <c r="BE5">
        <v>0</v>
      </c>
      <c r="BF5">
        <v>2</v>
      </c>
      <c r="BG5">
        <v>9</v>
      </c>
      <c r="BI5" s="1">
        <v>15106</v>
      </c>
      <c r="BJ5">
        <v>1</v>
      </c>
      <c r="BK5">
        <v>1</v>
      </c>
      <c r="BL5">
        <v>2</v>
      </c>
      <c r="BM5">
        <v>17</v>
      </c>
      <c r="BN5">
        <v>19</v>
      </c>
      <c r="BO5" s="3">
        <v>5.2600000000000001E-2</v>
      </c>
      <c r="BP5">
        <v>175</v>
      </c>
      <c r="BQ5" s="4">
        <v>59483</v>
      </c>
      <c r="BU5" s="4">
        <v>19357</v>
      </c>
      <c r="BV5" s="4">
        <v>45000</v>
      </c>
      <c r="BW5" s="4">
        <v>25789</v>
      </c>
      <c r="DO5" s="4">
        <v>18200</v>
      </c>
      <c r="DP5" s="4">
        <v>25000</v>
      </c>
      <c r="DQ5" s="4">
        <v>21654</v>
      </c>
      <c r="DS5" s="4">
        <v>42000</v>
      </c>
      <c r="DT5" s="4">
        <v>50000</v>
      </c>
      <c r="DU5" s="4">
        <v>44000</v>
      </c>
      <c r="DV5" s="4">
        <v>227175</v>
      </c>
      <c r="DW5" s="4">
        <v>495536</v>
      </c>
      <c r="DX5" s="4">
        <v>722711</v>
      </c>
      <c r="DY5" s="4">
        <v>391386</v>
      </c>
      <c r="DZ5" s="4">
        <v>0</v>
      </c>
      <c r="EA5" s="4">
        <v>391386</v>
      </c>
      <c r="EB5" s="4">
        <v>0</v>
      </c>
      <c r="EC5" s="4">
        <v>0</v>
      </c>
      <c r="ED5" s="4">
        <v>0</v>
      </c>
      <c r="EE5" s="4">
        <v>140655</v>
      </c>
      <c r="EF5" s="4">
        <v>1254752</v>
      </c>
      <c r="EG5" s="4">
        <v>589968</v>
      </c>
      <c r="EH5" s="4">
        <v>157082</v>
      </c>
      <c r="EI5" s="4">
        <v>747050</v>
      </c>
      <c r="EJ5" s="4">
        <v>84260</v>
      </c>
      <c r="EK5" s="4">
        <v>5000</v>
      </c>
      <c r="EL5" s="4">
        <v>4614</v>
      </c>
      <c r="EM5" s="4">
        <v>93874</v>
      </c>
      <c r="EN5" s="4">
        <v>198378</v>
      </c>
      <c r="EO5" s="4">
        <v>1039302</v>
      </c>
      <c r="EP5" s="4">
        <v>215450</v>
      </c>
      <c r="EQ5" s="3">
        <v>0.17169999999999999</v>
      </c>
      <c r="ER5" s="4">
        <v>0</v>
      </c>
      <c r="ES5" s="4">
        <v>0</v>
      </c>
      <c r="ET5" s="4">
        <v>0</v>
      </c>
      <c r="EU5" s="4">
        <v>0</v>
      </c>
      <c r="EV5" s="4">
        <v>0</v>
      </c>
      <c r="EW5" s="4">
        <v>0</v>
      </c>
      <c r="EX5" s="1">
        <v>23526</v>
      </c>
      <c r="EY5" s="1">
        <v>252784</v>
      </c>
      <c r="EZ5" s="1">
        <v>55148</v>
      </c>
      <c r="FA5" s="1">
        <v>4452</v>
      </c>
      <c r="FB5" s="1">
        <v>39295</v>
      </c>
      <c r="FC5" s="1">
        <v>44197</v>
      </c>
      <c r="FD5" s="1">
        <v>1921</v>
      </c>
      <c r="FE5" s="1">
        <v>21477</v>
      </c>
      <c r="FF5" s="1">
        <v>99345</v>
      </c>
      <c r="FG5" s="1">
        <v>6373</v>
      </c>
      <c r="FH5" s="1">
        <v>60772</v>
      </c>
      <c r="FI5" s="1">
        <v>166490</v>
      </c>
      <c r="FJ5" s="1">
        <v>5980</v>
      </c>
      <c r="FK5">
        <v>119</v>
      </c>
      <c r="FM5" s="1">
        <v>166490</v>
      </c>
      <c r="FN5" s="1">
        <v>7467</v>
      </c>
      <c r="FO5" s="1">
        <v>12554</v>
      </c>
      <c r="FP5" s="1">
        <v>1997</v>
      </c>
      <c r="FQ5">
        <v>4</v>
      </c>
      <c r="FR5">
        <v>88</v>
      </c>
      <c r="FS5">
        <v>92</v>
      </c>
      <c r="FT5" s="1">
        <v>44141</v>
      </c>
      <c r="FU5" s="1">
        <v>3505</v>
      </c>
      <c r="FV5">
        <v>0</v>
      </c>
      <c r="FW5">
        <v>0</v>
      </c>
      <c r="FX5" s="1">
        <v>8544</v>
      </c>
      <c r="FY5" s="1">
        <v>1573</v>
      </c>
      <c r="FZ5">
        <v>322</v>
      </c>
      <c r="GA5">
        <v>0</v>
      </c>
      <c r="GE5">
        <v>0</v>
      </c>
      <c r="GJ5">
        <v>0</v>
      </c>
      <c r="GK5">
        <v>0</v>
      </c>
      <c r="GL5">
        <v>0</v>
      </c>
      <c r="GM5">
        <v>0</v>
      </c>
      <c r="GN5" s="1">
        <v>52685</v>
      </c>
      <c r="GO5" s="1">
        <v>5078</v>
      </c>
      <c r="GP5">
        <v>322</v>
      </c>
      <c r="GQ5">
        <v>0</v>
      </c>
      <c r="GR5">
        <v>7</v>
      </c>
      <c r="GT5" s="1">
        <v>28398</v>
      </c>
      <c r="GU5" s="1">
        <v>2823</v>
      </c>
      <c r="GV5" s="1">
        <v>19932</v>
      </c>
      <c r="GW5" s="1">
        <v>8013</v>
      </c>
      <c r="GX5">
        <v>266</v>
      </c>
      <c r="GY5" s="1">
        <v>4682</v>
      </c>
      <c r="GZ5" s="1">
        <v>36411</v>
      </c>
      <c r="HA5" s="1">
        <v>3089</v>
      </c>
      <c r="HB5" s="1">
        <v>24614</v>
      </c>
      <c r="HC5" s="1">
        <v>64114</v>
      </c>
      <c r="HD5">
        <v>380</v>
      </c>
      <c r="HE5" s="1">
        <v>64494</v>
      </c>
      <c r="HF5" s="1">
        <v>3308</v>
      </c>
      <c r="HG5" s="1">
        <v>12311</v>
      </c>
      <c r="HH5">
        <v>0</v>
      </c>
      <c r="HI5">
        <v>13</v>
      </c>
      <c r="HJ5" s="1">
        <v>15632</v>
      </c>
      <c r="HK5" s="1">
        <v>80126</v>
      </c>
      <c r="HL5">
        <v>70</v>
      </c>
      <c r="HM5">
        <v>0</v>
      </c>
      <c r="HN5">
        <v>70</v>
      </c>
      <c r="HO5">
        <v>22</v>
      </c>
      <c r="HP5">
        <v>0</v>
      </c>
      <c r="HQ5">
        <v>22</v>
      </c>
      <c r="HR5">
        <v>0</v>
      </c>
      <c r="HS5">
        <v>0</v>
      </c>
      <c r="HT5">
        <v>0</v>
      </c>
      <c r="HU5">
        <v>0</v>
      </c>
      <c r="HV5">
        <v>92</v>
      </c>
      <c r="HW5" s="1">
        <v>1439</v>
      </c>
      <c r="HX5">
        <v>0</v>
      </c>
      <c r="HY5" s="1">
        <v>1439</v>
      </c>
      <c r="HZ5" s="1">
        <v>1531</v>
      </c>
      <c r="IA5" s="1">
        <v>3330</v>
      </c>
      <c r="IB5" s="1">
        <v>15641</v>
      </c>
      <c r="IC5" s="1">
        <v>80218</v>
      </c>
      <c r="ID5" s="1">
        <v>80218</v>
      </c>
      <c r="IE5" s="1">
        <v>81657</v>
      </c>
      <c r="IF5" s="1">
        <v>27703</v>
      </c>
      <c r="IJ5">
        <v>3</v>
      </c>
      <c r="IK5" s="3">
        <v>5.0900000000000001E-2</v>
      </c>
      <c r="IL5" s="3">
        <v>5.0000000000000001E-4</v>
      </c>
      <c r="IM5" s="3">
        <v>0.2298</v>
      </c>
      <c r="IN5" s="3">
        <v>0</v>
      </c>
      <c r="IO5" s="3">
        <v>0.2084</v>
      </c>
      <c r="IP5" s="3">
        <v>4.0000000000000002E-4</v>
      </c>
      <c r="IQ5" s="3">
        <v>0.65859999999999996</v>
      </c>
      <c r="IR5" s="3">
        <v>4.9599999999999998E-2</v>
      </c>
      <c r="IS5" s="3">
        <v>0.3453</v>
      </c>
      <c r="IT5" s="1">
        <v>27031</v>
      </c>
      <c r="IU5" s="1">
        <v>6728</v>
      </c>
      <c r="IV5" s="1">
        <v>33759</v>
      </c>
      <c r="IW5" s="3">
        <v>0.43409999999999999</v>
      </c>
      <c r="IX5" s="1">
        <v>93214</v>
      </c>
      <c r="IZ5">
        <v>85</v>
      </c>
      <c r="JA5">
        <v>6</v>
      </c>
      <c r="JB5">
        <v>271</v>
      </c>
      <c r="JC5">
        <v>24</v>
      </c>
      <c r="JD5">
        <v>14</v>
      </c>
      <c r="JE5">
        <v>69</v>
      </c>
      <c r="JF5">
        <v>109</v>
      </c>
      <c r="JG5">
        <v>20</v>
      </c>
      <c r="JH5">
        <v>340</v>
      </c>
      <c r="JI5">
        <v>469</v>
      </c>
      <c r="JJ5">
        <v>362</v>
      </c>
      <c r="JK5">
        <v>107</v>
      </c>
      <c r="JL5">
        <v>722</v>
      </c>
      <c r="JM5">
        <v>55</v>
      </c>
      <c r="JN5" s="1">
        <v>5658</v>
      </c>
      <c r="JO5">
        <v>458</v>
      </c>
      <c r="JP5">
        <v>234</v>
      </c>
      <c r="JQ5" s="1">
        <v>4674</v>
      </c>
      <c r="JR5" s="1">
        <v>1180</v>
      </c>
      <c r="JS5">
        <v>289</v>
      </c>
      <c r="JT5" s="1">
        <v>10332</v>
      </c>
      <c r="JU5" s="1">
        <v>11801</v>
      </c>
      <c r="JV5" s="1">
        <v>6435</v>
      </c>
      <c r="JW5" s="1">
        <v>5366</v>
      </c>
      <c r="JX5">
        <v>25.16</v>
      </c>
      <c r="JY5">
        <v>10.83</v>
      </c>
      <c r="JZ5">
        <v>30.39</v>
      </c>
      <c r="KA5">
        <v>0.1</v>
      </c>
      <c r="KB5">
        <v>0.88</v>
      </c>
      <c r="KM5" s="1">
        <v>15567</v>
      </c>
      <c r="KN5" s="1">
        <v>3376</v>
      </c>
      <c r="KO5" s="1">
        <v>1262</v>
      </c>
      <c r="KQ5">
        <v>214</v>
      </c>
      <c r="KR5">
        <v>836</v>
      </c>
      <c r="KS5">
        <v>0</v>
      </c>
      <c r="KT5">
        <v>0</v>
      </c>
      <c r="KU5">
        <v>37</v>
      </c>
      <c r="KV5">
        <v>100</v>
      </c>
      <c r="KW5" s="1">
        <v>35343</v>
      </c>
      <c r="KY5" s="1">
        <v>85453</v>
      </c>
      <c r="KZ5" s="1">
        <v>34632</v>
      </c>
      <c r="LC5" t="s">
        <v>708</v>
      </c>
      <c r="LD5" t="s">
        <v>709</v>
      </c>
      <c r="LE5" t="s">
        <v>696</v>
      </c>
      <c r="LF5" t="s">
        <v>697</v>
      </c>
      <c r="LG5">
        <v>27986</v>
      </c>
      <c r="LH5">
        <v>68</v>
      </c>
      <c r="LI5" t="s">
        <v>698</v>
      </c>
      <c r="LJ5" t="s">
        <v>697</v>
      </c>
      <c r="LK5">
        <v>27986</v>
      </c>
      <c r="LL5">
        <v>68</v>
      </c>
      <c r="LM5" t="s">
        <v>701</v>
      </c>
      <c r="LN5">
        <v>2523587855</v>
      </c>
      <c r="LO5">
        <v>2523580368</v>
      </c>
      <c r="LP5" s="1">
        <v>32361</v>
      </c>
      <c r="LQ5">
        <v>13.45</v>
      </c>
      <c r="LS5" s="1">
        <v>15106</v>
      </c>
      <c r="LT5">
        <v>364</v>
      </c>
      <c r="LW5">
        <v>13</v>
      </c>
      <c r="LX5" t="s">
        <v>710</v>
      </c>
      <c r="LY5">
        <v>0</v>
      </c>
      <c r="LZ5" t="s">
        <v>691</v>
      </c>
      <c r="MA5">
        <v>8.23</v>
      </c>
      <c r="MB5">
        <v>13.52</v>
      </c>
    </row>
    <row r="6" spans="1:363" x14ac:dyDescent="0.25">
      <c r="A6" t="s">
        <v>711</v>
      </c>
      <c r="B6">
        <v>0</v>
      </c>
      <c r="C6">
        <v>1375</v>
      </c>
      <c r="D6">
        <v>2017</v>
      </c>
      <c r="E6">
        <v>0</v>
      </c>
      <c r="F6" t="s">
        <v>711</v>
      </c>
      <c r="G6" t="s">
        <v>712</v>
      </c>
      <c r="H6" t="s">
        <v>668</v>
      </c>
      <c r="I6" t="s">
        <v>669</v>
      </c>
      <c r="J6" t="s">
        <v>670</v>
      </c>
      <c r="K6" t="s">
        <v>671</v>
      </c>
      <c r="L6" t="s">
        <v>672</v>
      </c>
      <c r="M6" t="s">
        <v>673</v>
      </c>
      <c r="N6" s="1">
        <v>37952</v>
      </c>
      <c r="O6" t="s">
        <v>674</v>
      </c>
      <c r="P6">
        <v>567</v>
      </c>
      <c r="Q6">
        <v>97</v>
      </c>
      <c r="R6">
        <v>39</v>
      </c>
      <c r="S6">
        <v>2</v>
      </c>
      <c r="T6" s="1">
        <v>1443</v>
      </c>
      <c r="U6">
        <v>41</v>
      </c>
      <c r="V6" s="1">
        <v>9294</v>
      </c>
      <c r="W6" s="1">
        <v>1655</v>
      </c>
      <c r="X6" s="1">
        <v>718455</v>
      </c>
      <c r="Y6" s="1">
        <v>233437</v>
      </c>
      <c r="Z6" t="s">
        <v>713</v>
      </c>
      <c r="AA6" t="s">
        <v>714</v>
      </c>
      <c r="AB6">
        <v>28681</v>
      </c>
      <c r="AC6">
        <v>2698</v>
      </c>
      <c r="AD6" t="s">
        <v>713</v>
      </c>
      <c r="AE6" t="s">
        <v>714</v>
      </c>
      <c r="AF6">
        <v>28681</v>
      </c>
      <c r="AG6">
        <v>2</v>
      </c>
      <c r="AH6" t="s">
        <v>715</v>
      </c>
      <c r="AJ6" t="s">
        <v>35</v>
      </c>
      <c r="AK6" t="s">
        <v>716</v>
      </c>
      <c r="AL6" t="s">
        <v>717</v>
      </c>
      <c r="AM6" t="s">
        <v>718</v>
      </c>
      <c r="AN6" t="s">
        <v>719</v>
      </c>
      <c r="AO6" t="s">
        <v>720</v>
      </c>
      <c r="AP6" t="s">
        <v>717</v>
      </c>
      <c r="AQ6" t="s">
        <v>706</v>
      </c>
      <c r="AR6" t="s">
        <v>718</v>
      </c>
      <c r="AS6" t="s">
        <v>719</v>
      </c>
      <c r="AT6" t="s">
        <v>720</v>
      </c>
      <c r="AU6" t="s">
        <v>721</v>
      </c>
      <c r="BC6">
        <v>1</v>
      </c>
      <c r="BD6">
        <v>1</v>
      </c>
      <c r="BE6">
        <v>0</v>
      </c>
      <c r="BF6">
        <v>0</v>
      </c>
      <c r="BG6">
        <v>2</v>
      </c>
      <c r="BI6" s="1">
        <v>3801</v>
      </c>
      <c r="BJ6">
        <v>1</v>
      </c>
      <c r="BK6">
        <v>0</v>
      </c>
      <c r="BL6">
        <v>1</v>
      </c>
      <c r="BM6">
        <v>8.33</v>
      </c>
      <c r="BN6">
        <v>9.33</v>
      </c>
      <c r="BO6" s="3">
        <v>0.1072</v>
      </c>
      <c r="BP6">
        <v>753</v>
      </c>
      <c r="BQ6" s="4">
        <v>47983</v>
      </c>
      <c r="BU6" s="4">
        <v>27872</v>
      </c>
      <c r="BV6" s="4">
        <v>39383</v>
      </c>
      <c r="BW6" s="4">
        <v>28568</v>
      </c>
      <c r="CR6" s="4">
        <v>27872</v>
      </c>
      <c r="CS6" s="4">
        <v>39383</v>
      </c>
      <c r="CT6" s="4">
        <v>29284</v>
      </c>
      <c r="CZ6" s="4">
        <v>24033</v>
      </c>
      <c r="DA6" s="4">
        <v>33958</v>
      </c>
      <c r="DB6" s="4">
        <v>24633</v>
      </c>
      <c r="DD6" s="4">
        <v>19726</v>
      </c>
      <c r="DE6" s="4">
        <v>27872</v>
      </c>
      <c r="DF6" s="4">
        <v>24543</v>
      </c>
      <c r="DV6" s="4">
        <v>0</v>
      </c>
      <c r="DW6" s="4">
        <v>492390</v>
      </c>
      <c r="DX6" s="4">
        <v>492390</v>
      </c>
      <c r="DY6" s="4">
        <v>96220</v>
      </c>
      <c r="DZ6" s="4">
        <v>0</v>
      </c>
      <c r="EA6" s="4">
        <v>96220</v>
      </c>
      <c r="EB6" s="4">
        <v>6609</v>
      </c>
      <c r="EC6" s="4">
        <v>0</v>
      </c>
      <c r="ED6" s="4">
        <v>6609</v>
      </c>
      <c r="EE6" s="4">
        <v>12017</v>
      </c>
      <c r="EF6" s="4">
        <v>607236</v>
      </c>
      <c r="EG6" s="4">
        <v>244576</v>
      </c>
      <c r="EH6" s="4">
        <v>103095</v>
      </c>
      <c r="EI6" s="4">
        <v>347671</v>
      </c>
      <c r="EJ6" s="4">
        <v>42087</v>
      </c>
      <c r="EK6" s="4">
        <v>2901</v>
      </c>
      <c r="EL6" s="4">
        <v>7192</v>
      </c>
      <c r="EM6" s="4">
        <v>52180</v>
      </c>
      <c r="EN6" s="4">
        <v>79394</v>
      </c>
      <c r="EO6" s="4">
        <v>479245</v>
      </c>
      <c r="EP6" s="4">
        <v>127991</v>
      </c>
      <c r="EQ6" s="3">
        <v>0.21079999999999999</v>
      </c>
      <c r="ER6" s="4">
        <v>0</v>
      </c>
      <c r="ES6" s="4">
        <v>0</v>
      </c>
      <c r="ET6" s="4">
        <v>0</v>
      </c>
      <c r="EU6" s="4">
        <v>0</v>
      </c>
      <c r="EV6" s="4">
        <v>0</v>
      </c>
      <c r="EW6" s="4">
        <v>0</v>
      </c>
      <c r="EX6" s="1">
        <v>10657</v>
      </c>
      <c r="EY6" s="1">
        <v>120611</v>
      </c>
      <c r="EZ6" s="1">
        <v>16165</v>
      </c>
      <c r="FA6" s="1">
        <v>3875</v>
      </c>
      <c r="FB6" s="1">
        <v>15485</v>
      </c>
      <c r="FC6" s="1">
        <v>12492</v>
      </c>
      <c r="FD6">
        <v>1</v>
      </c>
      <c r="FE6" s="1">
        <v>6679</v>
      </c>
      <c r="FF6" s="1">
        <v>28657</v>
      </c>
      <c r="FG6" s="1">
        <v>3876</v>
      </c>
      <c r="FH6" s="1">
        <v>22164</v>
      </c>
      <c r="FI6" s="1">
        <v>54697</v>
      </c>
      <c r="FJ6">
        <v>110</v>
      </c>
      <c r="FK6">
        <v>69</v>
      </c>
      <c r="FM6" s="1">
        <v>54697</v>
      </c>
      <c r="FN6" s="1">
        <v>2649</v>
      </c>
      <c r="FO6" s="1">
        <v>4295</v>
      </c>
      <c r="FP6">
        <v>0</v>
      </c>
      <c r="FQ6">
        <v>1</v>
      </c>
      <c r="FR6">
        <v>88</v>
      </c>
      <c r="FS6">
        <v>89</v>
      </c>
      <c r="FT6" s="1">
        <v>44141</v>
      </c>
      <c r="FU6" s="1">
        <v>3505</v>
      </c>
      <c r="FV6">
        <v>0</v>
      </c>
      <c r="FW6">
        <v>0</v>
      </c>
      <c r="FX6" s="1">
        <v>8544</v>
      </c>
      <c r="FY6" s="1">
        <v>1573</v>
      </c>
      <c r="FZ6">
        <v>322</v>
      </c>
      <c r="GA6">
        <v>0</v>
      </c>
      <c r="GE6">
        <v>0</v>
      </c>
      <c r="GJ6">
        <v>409</v>
      </c>
      <c r="GK6">
        <v>208</v>
      </c>
      <c r="GL6">
        <v>0</v>
      </c>
      <c r="GM6">
        <v>0</v>
      </c>
      <c r="GN6" s="1">
        <v>53094</v>
      </c>
      <c r="GO6" s="1">
        <v>5286</v>
      </c>
      <c r="GP6">
        <v>322</v>
      </c>
      <c r="GQ6">
        <v>0</v>
      </c>
      <c r="GR6">
        <v>20</v>
      </c>
      <c r="GT6" s="1">
        <v>22362</v>
      </c>
      <c r="GU6" s="1">
        <v>4633</v>
      </c>
      <c r="GV6" s="1">
        <v>23028</v>
      </c>
      <c r="GW6" s="1">
        <v>4841</v>
      </c>
      <c r="GX6">
        <v>5</v>
      </c>
      <c r="GY6" s="1">
        <v>3917</v>
      </c>
      <c r="GZ6" s="1">
        <v>27203</v>
      </c>
      <c r="HA6" s="1">
        <v>4638</v>
      </c>
      <c r="HB6" s="1">
        <v>26945</v>
      </c>
      <c r="HC6" s="1">
        <v>58786</v>
      </c>
      <c r="HD6">
        <v>0</v>
      </c>
      <c r="HE6" s="1">
        <v>58951</v>
      </c>
      <c r="HF6" s="1">
        <v>3850</v>
      </c>
      <c r="HG6" s="1">
        <v>18556</v>
      </c>
      <c r="HH6">
        <v>165</v>
      </c>
      <c r="HI6">
        <v>2</v>
      </c>
      <c r="HJ6" s="1">
        <v>22408</v>
      </c>
      <c r="HK6" s="1">
        <v>81359</v>
      </c>
      <c r="HL6">
        <v>60</v>
      </c>
      <c r="HM6">
        <v>180</v>
      </c>
      <c r="HN6">
        <v>240</v>
      </c>
      <c r="HO6">
        <v>728</v>
      </c>
      <c r="HP6">
        <v>51</v>
      </c>
      <c r="HQ6">
        <v>779</v>
      </c>
      <c r="HR6">
        <v>0</v>
      </c>
      <c r="HS6">
        <v>0</v>
      </c>
      <c r="HT6">
        <v>0</v>
      </c>
      <c r="HU6">
        <v>0</v>
      </c>
      <c r="HV6" s="1">
        <v>1019</v>
      </c>
      <c r="HW6" s="1">
        <v>5789</v>
      </c>
      <c r="HX6" s="1">
        <v>1161</v>
      </c>
      <c r="HY6" s="1">
        <v>6950</v>
      </c>
      <c r="HZ6" s="1">
        <v>7969</v>
      </c>
      <c r="IA6" s="1">
        <v>4629</v>
      </c>
      <c r="IB6" s="1">
        <v>23185</v>
      </c>
      <c r="IC6" s="1">
        <v>82378</v>
      </c>
      <c r="ID6" s="1">
        <v>82378</v>
      </c>
      <c r="IE6" s="1">
        <v>89328</v>
      </c>
      <c r="IF6" s="1">
        <v>31583</v>
      </c>
      <c r="IG6">
        <v>24</v>
      </c>
      <c r="IJ6">
        <v>1</v>
      </c>
      <c r="IK6" s="3">
        <v>3.8300000000000001E-2</v>
      </c>
      <c r="IL6" s="3">
        <v>5.9999999999999995E-4</v>
      </c>
      <c r="IM6" s="3">
        <v>0.48670000000000002</v>
      </c>
      <c r="IN6" s="3">
        <v>0</v>
      </c>
      <c r="IO6" s="3">
        <v>0.44019999999999998</v>
      </c>
      <c r="IP6" s="3">
        <v>6.9999999999999999E-4</v>
      </c>
      <c r="IQ6" s="3">
        <v>0.45350000000000001</v>
      </c>
      <c r="IR6" s="3">
        <v>6.5799999999999997E-2</v>
      </c>
      <c r="IS6" s="3">
        <v>0.38340000000000002</v>
      </c>
      <c r="IT6" s="1">
        <v>11037</v>
      </c>
      <c r="IU6" s="1">
        <v>3399</v>
      </c>
      <c r="IV6" s="1">
        <v>14436</v>
      </c>
      <c r="IW6" s="3">
        <v>0.38040000000000002</v>
      </c>
      <c r="IX6" s="1">
        <v>61429</v>
      </c>
      <c r="IZ6">
        <v>81</v>
      </c>
      <c r="JA6">
        <v>21</v>
      </c>
      <c r="JB6">
        <v>219</v>
      </c>
      <c r="JC6">
        <v>32</v>
      </c>
      <c r="JD6">
        <v>8</v>
      </c>
      <c r="JE6">
        <v>149</v>
      </c>
      <c r="JF6">
        <v>113</v>
      </c>
      <c r="JG6">
        <v>29</v>
      </c>
      <c r="JH6">
        <v>368</v>
      </c>
      <c r="JI6">
        <v>510</v>
      </c>
      <c r="JJ6">
        <v>321</v>
      </c>
      <c r="JK6">
        <v>189</v>
      </c>
      <c r="JL6" s="1">
        <v>1595</v>
      </c>
      <c r="JM6">
        <v>215</v>
      </c>
      <c r="JN6" s="1">
        <v>3468</v>
      </c>
      <c r="JO6">
        <v>340</v>
      </c>
      <c r="JP6">
        <v>886</v>
      </c>
      <c r="JQ6" s="1">
        <v>3955</v>
      </c>
      <c r="JR6" s="1">
        <v>1935</v>
      </c>
      <c r="JS6" s="1">
        <v>1101</v>
      </c>
      <c r="JT6" s="1">
        <v>7423</v>
      </c>
      <c r="JU6" s="1">
        <v>10459</v>
      </c>
      <c r="JV6" s="1">
        <v>5278</v>
      </c>
      <c r="JW6" s="1">
        <v>5181</v>
      </c>
      <c r="JX6">
        <v>20.51</v>
      </c>
      <c r="JY6">
        <v>17.12</v>
      </c>
      <c r="JZ6">
        <v>20.170000000000002</v>
      </c>
      <c r="KA6">
        <v>0.19</v>
      </c>
      <c r="KB6">
        <v>0.71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 s="1">
        <v>2721</v>
      </c>
      <c r="KN6" s="1">
        <v>1132</v>
      </c>
      <c r="KO6">
        <v>566</v>
      </c>
      <c r="KS6" s="1">
        <v>3704</v>
      </c>
      <c r="KT6" s="1">
        <v>3379</v>
      </c>
      <c r="KU6">
        <v>12</v>
      </c>
      <c r="KV6">
        <v>13</v>
      </c>
      <c r="KW6" s="1">
        <v>12173</v>
      </c>
      <c r="KY6" s="1">
        <v>46012</v>
      </c>
      <c r="KZ6" s="1">
        <v>1966</v>
      </c>
      <c r="LC6" t="s">
        <v>715</v>
      </c>
      <c r="LD6" t="s">
        <v>709</v>
      </c>
      <c r="LE6" t="s">
        <v>713</v>
      </c>
      <c r="LF6" t="s">
        <v>714</v>
      </c>
      <c r="LG6">
        <v>28681</v>
      </c>
      <c r="LH6">
        <v>2639</v>
      </c>
      <c r="LI6" t="s">
        <v>713</v>
      </c>
      <c r="LJ6" t="s">
        <v>714</v>
      </c>
      <c r="LK6">
        <v>28681</v>
      </c>
      <c r="LL6">
        <v>2639</v>
      </c>
      <c r="LM6" t="s">
        <v>716</v>
      </c>
      <c r="LN6">
        <v>8286324058</v>
      </c>
      <c r="LO6">
        <v>8286321094</v>
      </c>
      <c r="LP6" s="1">
        <v>10620</v>
      </c>
      <c r="LQ6">
        <v>15.33</v>
      </c>
      <c r="LS6" s="1">
        <v>3801</v>
      </c>
      <c r="LT6">
        <v>104</v>
      </c>
      <c r="LW6">
        <v>3</v>
      </c>
      <c r="LX6" t="s">
        <v>722</v>
      </c>
      <c r="LY6">
        <v>0</v>
      </c>
      <c r="LZ6" t="s">
        <v>691</v>
      </c>
      <c r="MA6">
        <v>93.5</v>
      </c>
      <c r="MB6">
        <v>93.3</v>
      </c>
    </row>
    <row r="7" spans="1:363" x14ac:dyDescent="0.25">
      <c r="A7" t="s">
        <v>723</v>
      </c>
      <c r="B7">
        <v>0</v>
      </c>
      <c r="C7">
        <v>1375</v>
      </c>
      <c r="D7">
        <v>2017</v>
      </c>
      <c r="E7">
        <v>0</v>
      </c>
      <c r="F7" t="s">
        <v>723</v>
      </c>
      <c r="G7" t="s">
        <v>724</v>
      </c>
      <c r="H7" t="s">
        <v>668</v>
      </c>
      <c r="I7" t="s">
        <v>694</v>
      </c>
      <c r="J7" t="s">
        <v>725</v>
      </c>
      <c r="K7" t="s">
        <v>671</v>
      </c>
      <c r="L7" t="s">
        <v>695</v>
      </c>
      <c r="M7" t="s">
        <v>673</v>
      </c>
      <c r="N7" s="1">
        <v>150732</v>
      </c>
      <c r="O7" t="s">
        <v>674</v>
      </c>
      <c r="P7" s="1">
        <v>1625</v>
      </c>
      <c r="Q7">
        <v>289</v>
      </c>
      <c r="R7">
        <v>448</v>
      </c>
      <c r="S7">
        <v>37</v>
      </c>
      <c r="T7" s="1">
        <v>12515</v>
      </c>
      <c r="U7">
        <v>394</v>
      </c>
      <c r="V7" s="1">
        <v>72630</v>
      </c>
      <c r="W7" s="1">
        <v>7973</v>
      </c>
      <c r="X7" s="1">
        <v>473580</v>
      </c>
      <c r="Y7" s="1">
        <v>340810</v>
      </c>
      <c r="Z7" t="s">
        <v>726</v>
      </c>
      <c r="AA7" t="s">
        <v>727</v>
      </c>
      <c r="AB7">
        <v>28694</v>
      </c>
      <c r="AD7" t="s">
        <v>726</v>
      </c>
      <c r="AE7" t="s">
        <v>727</v>
      </c>
      <c r="AF7">
        <v>28694</v>
      </c>
      <c r="AG7">
        <v>2</v>
      </c>
      <c r="AH7" t="s">
        <v>728</v>
      </c>
      <c r="AJ7" t="s">
        <v>700</v>
      </c>
      <c r="AK7" t="s">
        <v>729</v>
      </c>
      <c r="AL7" t="s">
        <v>730</v>
      </c>
      <c r="AM7" t="s">
        <v>731</v>
      </c>
      <c r="AN7" t="s">
        <v>732</v>
      </c>
      <c r="AO7" t="s">
        <v>733</v>
      </c>
      <c r="AP7" t="s">
        <v>730</v>
      </c>
      <c r="AQ7" t="s">
        <v>734</v>
      </c>
      <c r="AR7" t="s">
        <v>731</v>
      </c>
      <c r="AS7" t="s">
        <v>732</v>
      </c>
      <c r="AT7" t="s">
        <v>733</v>
      </c>
      <c r="AU7" t="s">
        <v>735</v>
      </c>
      <c r="BC7">
        <v>0</v>
      </c>
      <c r="BD7">
        <v>5</v>
      </c>
      <c r="BE7">
        <v>0</v>
      </c>
      <c r="BF7">
        <v>3</v>
      </c>
      <c r="BG7">
        <v>8</v>
      </c>
      <c r="BI7" s="1">
        <v>11300</v>
      </c>
      <c r="BJ7">
        <v>4</v>
      </c>
      <c r="BK7">
        <v>8.6300000000000008</v>
      </c>
      <c r="BL7">
        <v>12.63</v>
      </c>
      <c r="BM7">
        <v>33.15</v>
      </c>
      <c r="BN7">
        <v>45.78</v>
      </c>
      <c r="BO7" s="3">
        <v>8.7400000000000005E-2</v>
      </c>
      <c r="BP7" s="1">
        <v>8663</v>
      </c>
      <c r="BQ7" s="4">
        <v>68972</v>
      </c>
      <c r="BU7" s="4">
        <v>24564</v>
      </c>
      <c r="BV7" s="4">
        <v>55156</v>
      </c>
      <c r="BW7" s="4">
        <v>42692</v>
      </c>
      <c r="BY7" s="4">
        <v>32901</v>
      </c>
      <c r="BZ7" s="4">
        <v>35854</v>
      </c>
      <c r="CA7" s="4">
        <v>34585</v>
      </c>
      <c r="CC7" s="4">
        <v>34669</v>
      </c>
      <c r="CD7" s="4">
        <v>38199</v>
      </c>
      <c r="CE7" s="1">
        <v>35961</v>
      </c>
      <c r="CG7" s="4">
        <v>26066</v>
      </c>
      <c r="CH7" s="4">
        <v>30605</v>
      </c>
      <c r="CI7" s="4">
        <v>27879</v>
      </c>
      <c r="CK7" s="4">
        <v>18750</v>
      </c>
      <c r="CL7" s="4">
        <v>34669</v>
      </c>
      <c r="CM7" s="1">
        <v>24736</v>
      </c>
      <c r="CR7" s="4">
        <v>27050</v>
      </c>
      <c r="CS7" s="4">
        <v>27050</v>
      </c>
      <c r="CT7" s="4">
        <v>27050</v>
      </c>
      <c r="CV7" s="4">
        <v>18158</v>
      </c>
      <c r="CW7" s="4">
        <v>31833</v>
      </c>
      <c r="CX7" s="4">
        <v>28274</v>
      </c>
      <c r="DO7" s="4">
        <v>15392</v>
      </c>
      <c r="DP7" s="4">
        <v>26624</v>
      </c>
      <c r="DQ7" s="4">
        <v>18202</v>
      </c>
      <c r="DS7" s="4">
        <v>47475</v>
      </c>
      <c r="DT7" s="4">
        <v>47475</v>
      </c>
      <c r="DU7" s="4">
        <v>47475</v>
      </c>
      <c r="DV7" s="4">
        <v>2000</v>
      </c>
      <c r="DW7" s="4">
        <v>1561193</v>
      </c>
      <c r="DX7" s="4">
        <v>1563193</v>
      </c>
      <c r="DY7" s="4">
        <v>383838</v>
      </c>
      <c r="DZ7" s="4">
        <v>0</v>
      </c>
      <c r="EA7" s="4">
        <v>383838</v>
      </c>
      <c r="EB7" s="4">
        <v>15266</v>
      </c>
      <c r="EC7" s="4">
        <v>0</v>
      </c>
      <c r="ED7" s="4">
        <v>15266</v>
      </c>
      <c r="EE7" s="4">
        <v>936784</v>
      </c>
      <c r="EF7" s="4">
        <v>2899081</v>
      </c>
      <c r="EG7" s="4">
        <v>1294797</v>
      </c>
      <c r="EH7" s="4">
        <v>362592</v>
      </c>
      <c r="EI7" s="4">
        <v>1657389</v>
      </c>
      <c r="EJ7" s="4">
        <v>124204</v>
      </c>
      <c r="EK7" s="4">
        <v>12539</v>
      </c>
      <c r="EL7" s="4">
        <v>26788</v>
      </c>
      <c r="EM7" s="4">
        <v>163531</v>
      </c>
      <c r="EN7" s="4">
        <v>445353</v>
      </c>
      <c r="EO7" s="4">
        <v>2266273</v>
      </c>
      <c r="EP7" s="4">
        <v>632808</v>
      </c>
      <c r="EQ7" s="3">
        <v>0.21829999999999999</v>
      </c>
      <c r="ER7" s="4">
        <v>0</v>
      </c>
      <c r="ES7" s="4">
        <v>0</v>
      </c>
      <c r="ET7" s="4">
        <v>0</v>
      </c>
      <c r="EU7" s="4">
        <v>0</v>
      </c>
      <c r="EV7" s="4">
        <v>0</v>
      </c>
      <c r="EW7" s="4">
        <v>0</v>
      </c>
      <c r="EX7" s="1">
        <v>24052</v>
      </c>
      <c r="EY7" s="1">
        <v>288142</v>
      </c>
      <c r="EZ7" s="1">
        <v>69268</v>
      </c>
      <c r="FA7" s="1">
        <v>10081</v>
      </c>
      <c r="FB7" s="1">
        <v>47268</v>
      </c>
      <c r="FC7" s="1">
        <v>61269</v>
      </c>
      <c r="FD7">
        <v>341</v>
      </c>
      <c r="FE7" s="1">
        <v>16402</v>
      </c>
      <c r="FF7" s="1">
        <v>130537</v>
      </c>
      <c r="FG7" s="1">
        <v>10422</v>
      </c>
      <c r="FH7" s="1">
        <v>63670</v>
      </c>
      <c r="FI7" s="1">
        <v>204629</v>
      </c>
      <c r="FJ7" s="1">
        <v>2546</v>
      </c>
      <c r="FK7">
        <v>188</v>
      </c>
      <c r="FM7" s="1">
        <v>204629</v>
      </c>
      <c r="FN7" s="1">
        <v>9626</v>
      </c>
      <c r="FO7" s="1">
        <v>10743</v>
      </c>
      <c r="FP7">
        <v>244</v>
      </c>
      <c r="FQ7">
        <v>1</v>
      </c>
      <c r="FR7">
        <v>88</v>
      </c>
      <c r="FS7">
        <v>89</v>
      </c>
      <c r="FT7" s="1">
        <v>44141</v>
      </c>
      <c r="FU7" s="1">
        <v>3505</v>
      </c>
      <c r="FV7">
        <v>0</v>
      </c>
      <c r="FW7">
        <v>0</v>
      </c>
      <c r="FX7" s="1">
        <v>8544</v>
      </c>
      <c r="FY7" s="1">
        <v>1573</v>
      </c>
      <c r="FZ7">
        <v>322</v>
      </c>
      <c r="GA7">
        <v>0</v>
      </c>
      <c r="GJ7" s="1">
        <v>1814</v>
      </c>
      <c r="GK7">
        <v>178</v>
      </c>
      <c r="GL7">
        <v>0</v>
      </c>
      <c r="GM7">
        <v>0</v>
      </c>
      <c r="GN7" s="1">
        <v>54499</v>
      </c>
      <c r="GO7" s="1">
        <v>5256</v>
      </c>
      <c r="GP7">
        <v>322</v>
      </c>
      <c r="GQ7">
        <v>0</v>
      </c>
      <c r="GR7">
        <v>114</v>
      </c>
      <c r="GT7" s="1">
        <v>178416</v>
      </c>
      <c r="GU7" s="1">
        <v>23351</v>
      </c>
      <c r="GV7" s="1">
        <v>170149</v>
      </c>
      <c r="GW7" s="1">
        <v>54956</v>
      </c>
      <c r="GX7">
        <v>495</v>
      </c>
      <c r="GY7" s="1">
        <v>35235</v>
      </c>
      <c r="GZ7" s="1">
        <v>233372</v>
      </c>
      <c r="HA7" s="1">
        <v>23846</v>
      </c>
      <c r="HB7" s="1">
        <v>205384</v>
      </c>
      <c r="HC7" s="1">
        <v>462602</v>
      </c>
      <c r="HD7" s="1">
        <v>3634</v>
      </c>
      <c r="HE7" s="1">
        <v>471634</v>
      </c>
      <c r="HF7" s="1">
        <v>35161</v>
      </c>
      <c r="HG7" s="1">
        <v>105025</v>
      </c>
      <c r="HH7" s="1">
        <v>5398</v>
      </c>
      <c r="HI7">
        <v>937</v>
      </c>
      <c r="HJ7" s="1">
        <v>141123</v>
      </c>
      <c r="HK7" s="1">
        <v>612757</v>
      </c>
      <c r="HL7">
        <v>47</v>
      </c>
      <c r="HM7" s="1">
        <v>9343</v>
      </c>
      <c r="HN7" s="1">
        <v>9390</v>
      </c>
      <c r="HO7">
        <v>323</v>
      </c>
      <c r="HP7" s="1">
        <v>1871</v>
      </c>
      <c r="HQ7" s="1">
        <v>2194</v>
      </c>
      <c r="HR7">
        <v>0</v>
      </c>
      <c r="HS7">
        <v>0</v>
      </c>
      <c r="HT7">
        <v>0</v>
      </c>
      <c r="HU7">
        <v>0</v>
      </c>
      <c r="HV7" s="1">
        <v>11584</v>
      </c>
      <c r="HW7" s="1">
        <v>50003</v>
      </c>
      <c r="HX7" s="1">
        <v>67663</v>
      </c>
      <c r="HY7" s="1">
        <v>117666</v>
      </c>
      <c r="HZ7" s="1">
        <v>129250</v>
      </c>
      <c r="IA7" s="1">
        <v>37355</v>
      </c>
      <c r="IB7" s="1">
        <v>142380</v>
      </c>
      <c r="IC7" s="1">
        <v>624341</v>
      </c>
      <c r="ID7" s="1">
        <v>624341</v>
      </c>
      <c r="IE7" s="1">
        <v>742007</v>
      </c>
      <c r="IF7" s="1">
        <v>230262</v>
      </c>
      <c r="IG7" s="1">
        <v>1010</v>
      </c>
      <c r="IJ7">
        <v>1</v>
      </c>
      <c r="IK7" s="3">
        <v>3.8399999999999997E-2</v>
      </c>
      <c r="IL7" s="3">
        <v>6.9999999999999999E-4</v>
      </c>
      <c r="IM7" s="3">
        <v>0.20849999999999999</v>
      </c>
      <c r="IN7" s="3">
        <v>0</v>
      </c>
      <c r="IO7" s="3">
        <v>0.18909999999999999</v>
      </c>
      <c r="IP7" s="3">
        <v>2.9999999999999997E-4</v>
      </c>
      <c r="IQ7" s="3">
        <v>0.71020000000000005</v>
      </c>
      <c r="IR7" s="3">
        <v>5.16E-2</v>
      </c>
      <c r="IS7" s="3">
        <v>0.36880000000000002</v>
      </c>
      <c r="IT7" s="1">
        <v>41401</v>
      </c>
      <c r="IU7" s="1">
        <v>10027</v>
      </c>
      <c r="IV7" s="1">
        <v>51428</v>
      </c>
      <c r="IW7" s="3">
        <v>0.3412</v>
      </c>
      <c r="IX7" s="1">
        <v>423383</v>
      </c>
      <c r="IZ7">
        <v>401</v>
      </c>
      <c r="JA7">
        <v>90</v>
      </c>
      <c r="JB7">
        <v>931</v>
      </c>
      <c r="JC7">
        <v>107</v>
      </c>
      <c r="JD7">
        <v>3</v>
      </c>
      <c r="JE7">
        <v>101</v>
      </c>
      <c r="JF7">
        <v>508</v>
      </c>
      <c r="JG7">
        <v>93</v>
      </c>
      <c r="JH7" s="1">
        <v>1032</v>
      </c>
      <c r="JI7" s="1">
        <v>1633</v>
      </c>
      <c r="JJ7" s="1">
        <v>1422</v>
      </c>
      <c r="JK7">
        <v>211</v>
      </c>
      <c r="JL7" s="1">
        <v>4539</v>
      </c>
      <c r="JM7">
        <v>726</v>
      </c>
      <c r="JN7" s="1">
        <v>21003</v>
      </c>
      <c r="JO7" s="1">
        <v>1479</v>
      </c>
      <c r="JP7">
        <v>80</v>
      </c>
      <c r="JQ7" s="1">
        <v>5025</v>
      </c>
      <c r="JR7" s="1">
        <v>6018</v>
      </c>
      <c r="JS7">
        <v>806</v>
      </c>
      <c r="JT7" s="1">
        <v>26028</v>
      </c>
      <c r="JU7" s="1">
        <v>32852</v>
      </c>
      <c r="JV7" s="1">
        <v>26268</v>
      </c>
      <c r="JW7" s="1">
        <v>6584</v>
      </c>
      <c r="JX7">
        <v>20.12</v>
      </c>
      <c r="JY7">
        <v>11.85</v>
      </c>
      <c r="JZ7">
        <v>25.22</v>
      </c>
      <c r="KA7">
        <v>0.18</v>
      </c>
      <c r="KB7">
        <v>0.79</v>
      </c>
      <c r="KC7">
        <v>10</v>
      </c>
      <c r="KD7">
        <v>17</v>
      </c>
      <c r="KE7">
        <v>80</v>
      </c>
      <c r="KF7">
        <v>531</v>
      </c>
      <c r="KG7">
        <v>824</v>
      </c>
      <c r="KH7" s="1">
        <v>18315</v>
      </c>
      <c r="KI7">
        <v>0</v>
      </c>
      <c r="KJ7">
        <v>0</v>
      </c>
      <c r="KK7">
        <v>0</v>
      </c>
      <c r="KL7">
        <v>0</v>
      </c>
      <c r="KM7">
        <v>-1</v>
      </c>
      <c r="KN7">
        <v>-1</v>
      </c>
      <c r="KO7">
        <v>-1</v>
      </c>
      <c r="KQ7" s="1">
        <v>1606</v>
      </c>
      <c r="KR7" s="1">
        <v>12469</v>
      </c>
      <c r="KS7" s="1">
        <v>15727</v>
      </c>
      <c r="KT7" s="1">
        <v>29346</v>
      </c>
      <c r="KU7">
        <v>66</v>
      </c>
      <c r="KV7">
        <v>128</v>
      </c>
      <c r="KW7" s="1">
        <v>58065</v>
      </c>
      <c r="KY7" s="1">
        <v>267691</v>
      </c>
      <c r="KZ7" s="1">
        <v>40855</v>
      </c>
      <c r="LC7" t="s">
        <v>736</v>
      </c>
      <c r="LD7" t="s">
        <v>709</v>
      </c>
      <c r="LE7" t="s">
        <v>726</v>
      </c>
      <c r="LF7" t="s">
        <v>727</v>
      </c>
      <c r="LG7">
        <v>28694</v>
      </c>
      <c r="LH7">
        <v>9793</v>
      </c>
      <c r="LI7" t="s">
        <v>726</v>
      </c>
      <c r="LJ7" t="s">
        <v>727</v>
      </c>
      <c r="LK7">
        <v>28694</v>
      </c>
      <c r="LM7" t="s">
        <v>729</v>
      </c>
      <c r="LN7">
        <v>3368462041</v>
      </c>
      <c r="LO7">
        <v>3368467503</v>
      </c>
      <c r="LP7" s="1">
        <v>71101</v>
      </c>
      <c r="LQ7">
        <v>42.53</v>
      </c>
      <c r="LS7" s="1">
        <v>11300</v>
      </c>
      <c r="LT7">
        <v>260</v>
      </c>
      <c r="LW7">
        <v>7</v>
      </c>
      <c r="LX7" t="s">
        <v>737</v>
      </c>
      <c r="LY7">
        <v>0</v>
      </c>
      <c r="LZ7" t="s">
        <v>738</v>
      </c>
      <c r="MA7">
        <v>100</v>
      </c>
      <c r="MB7">
        <v>100</v>
      </c>
    </row>
    <row r="8" spans="1:363" x14ac:dyDescent="0.25">
      <c r="A8" t="s">
        <v>739</v>
      </c>
      <c r="B8">
        <v>0</v>
      </c>
      <c r="C8">
        <v>1375</v>
      </c>
      <c r="D8">
        <v>2017</v>
      </c>
      <c r="E8">
        <v>0</v>
      </c>
      <c r="F8" t="s">
        <v>739</v>
      </c>
      <c r="G8" t="s">
        <v>740</v>
      </c>
      <c r="H8" t="s">
        <v>668</v>
      </c>
      <c r="I8" t="s">
        <v>694</v>
      </c>
      <c r="J8" t="s">
        <v>725</v>
      </c>
      <c r="K8" t="s">
        <v>671</v>
      </c>
      <c r="L8" t="s">
        <v>695</v>
      </c>
      <c r="M8" t="s">
        <v>673</v>
      </c>
      <c r="N8" s="1">
        <v>51110</v>
      </c>
      <c r="O8" t="s">
        <v>674</v>
      </c>
      <c r="P8">
        <v>0</v>
      </c>
      <c r="Q8">
        <v>0</v>
      </c>
      <c r="R8">
        <v>22</v>
      </c>
      <c r="S8">
        <v>0</v>
      </c>
      <c r="T8">
        <v>516</v>
      </c>
      <c r="U8">
        <v>0</v>
      </c>
      <c r="V8" s="1">
        <v>9183</v>
      </c>
      <c r="W8">
        <v>0</v>
      </c>
      <c r="Y8">
        <v>0</v>
      </c>
      <c r="Z8" t="s">
        <v>741</v>
      </c>
      <c r="AA8" t="s">
        <v>742</v>
      </c>
      <c r="AB8">
        <v>28714</v>
      </c>
      <c r="AC8">
        <v>310</v>
      </c>
      <c r="AD8" t="s">
        <v>743</v>
      </c>
      <c r="AE8" t="s">
        <v>742</v>
      </c>
      <c r="AF8">
        <v>28714</v>
      </c>
      <c r="AG8">
        <v>1</v>
      </c>
      <c r="AH8" t="s">
        <v>744</v>
      </c>
      <c r="AJ8" t="s">
        <v>700</v>
      </c>
      <c r="AK8" t="s">
        <v>745</v>
      </c>
      <c r="AL8" t="s">
        <v>746</v>
      </c>
      <c r="AM8" t="s">
        <v>747</v>
      </c>
      <c r="AN8" t="s">
        <v>748</v>
      </c>
      <c r="AO8" t="s">
        <v>749</v>
      </c>
      <c r="AP8" t="s">
        <v>750</v>
      </c>
      <c r="AQ8" t="s">
        <v>751</v>
      </c>
      <c r="AR8" t="s">
        <v>747</v>
      </c>
      <c r="AS8" t="s">
        <v>748</v>
      </c>
      <c r="AT8" t="s">
        <v>752</v>
      </c>
      <c r="AU8" t="s">
        <v>753</v>
      </c>
      <c r="BC8">
        <v>0</v>
      </c>
      <c r="BD8">
        <v>4</v>
      </c>
      <c r="BE8">
        <v>1</v>
      </c>
      <c r="BF8">
        <v>1</v>
      </c>
      <c r="BG8">
        <v>6</v>
      </c>
      <c r="BI8" s="1">
        <v>11832</v>
      </c>
      <c r="BJ8">
        <v>2</v>
      </c>
      <c r="BK8">
        <v>0</v>
      </c>
      <c r="BL8">
        <v>2</v>
      </c>
      <c r="BM8">
        <v>17</v>
      </c>
      <c r="BN8">
        <v>19</v>
      </c>
      <c r="BO8" s="3">
        <v>0.1053</v>
      </c>
      <c r="BP8" s="1">
        <v>3700</v>
      </c>
      <c r="BQ8" s="4">
        <v>41376</v>
      </c>
      <c r="BT8">
        <v>0</v>
      </c>
      <c r="BU8" s="4">
        <v>22215</v>
      </c>
      <c r="BV8" s="4">
        <v>31928</v>
      </c>
      <c r="BW8" s="4">
        <v>26812</v>
      </c>
      <c r="BY8" s="4">
        <v>27000</v>
      </c>
      <c r="BZ8" s="4">
        <v>31000</v>
      </c>
      <c r="CA8" s="4">
        <v>29000</v>
      </c>
      <c r="CC8" s="4">
        <v>0</v>
      </c>
      <c r="CD8" s="4">
        <v>0</v>
      </c>
      <c r="CE8">
        <v>0</v>
      </c>
      <c r="CG8" s="4">
        <v>0</v>
      </c>
      <c r="CH8" s="4">
        <v>0</v>
      </c>
      <c r="CI8" s="4">
        <v>0</v>
      </c>
      <c r="CK8" s="4">
        <v>0</v>
      </c>
      <c r="CL8" s="4">
        <v>0</v>
      </c>
      <c r="CM8">
        <v>0</v>
      </c>
      <c r="CO8" s="4">
        <v>18720</v>
      </c>
      <c r="CP8" s="4">
        <v>23958</v>
      </c>
      <c r="CQ8" s="4">
        <v>20030</v>
      </c>
      <c r="CR8" s="4">
        <v>0</v>
      </c>
      <c r="CS8" s="4">
        <v>0</v>
      </c>
      <c r="CT8" s="4">
        <v>0</v>
      </c>
      <c r="CV8" s="4">
        <v>0</v>
      </c>
      <c r="CW8" s="4">
        <v>0</v>
      </c>
      <c r="CX8" s="4">
        <v>0</v>
      </c>
      <c r="CZ8" s="4">
        <v>0</v>
      </c>
      <c r="DA8" s="4">
        <v>0</v>
      </c>
      <c r="DB8" s="4">
        <v>0</v>
      </c>
      <c r="DD8" s="4">
        <v>0</v>
      </c>
      <c r="DE8" s="4">
        <v>0</v>
      </c>
      <c r="DF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O8" s="4">
        <v>0</v>
      </c>
      <c r="DP8" s="4">
        <v>0</v>
      </c>
      <c r="DQ8" s="4">
        <v>0</v>
      </c>
      <c r="DS8" s="4">
        <v>0</v>
      </c>
      <c r="DT8" s="4">
        <v>0</v>
      </c>
      <c r="DU8" s="4">
        <v>0</v>
      </c>
      <c r="DV8" s="4">
        <v>80716</v>
      </c>
      <c r="DW8" s="4">
        <v>314356</v>
      </c>
      <c r="DX8" s="4">
        <v>395072</v>
      </c>
      <c r="DY8" s="4">
        <v>295077</v>
      </c>
      <c r="DZ8" s="4">
        <v>0</v>
      </c>
      <c r="EA8" s="4">
        <v>295077</v>
      </c>
      <c r="EB8" s="4">
        <v>0</v>
      </c>
      <c r="EC8" s="4">
        <v>0</v>
      </c>
      <c r="ED8" s="4">
        <v>0</v>
      </c>
      <c r="EE8" s="4">
        <v>153497</v>
      </c>
      <c r="EF8" s="4">
        <v>843646</v>
      </c>
      <c r="EG8" s="4">
        <v>382635</v>
      </c>
      <c r="EH8" s="4">
        <v>157908</v>
      </c>
      <c r="EI8" s="4">
        <v>540543</v>
      </c>
      <c r="EJ8" s="4">
        <v>60660</v>
      </c>
      <c r="EK8" s="4">
        <v>0</v>
      </c>
      <c r="EL8" s="4">
        <v>0</v>
      </c>
      <c r="EM8" s="4">
        <v>60660</v>
      </c>
      <c r="EN8" s="4">
        <v>239340</v>
      </c>
      <c r="EO8" s="4">
        <v>840543</v>
      </c>
      <c r="EP8" s="4">
        <v>3103</v>
      </c>
      <c r="EQ8" s="3">
        <v>3.7000000000000002E-3</v>
      </c>
      <c r="ER8" s="4">
        <v>0</v>
      </c>
      <c r="ES8" s="4">
        <v>0</v>
      </c>
      <c r="ET8" s="4">
        <v>0</v>
      </c>
      <c r="EU8" s="4">
        <v>0</v>
      </c>
      <c r="EV8" s="4">
        <v>0</v>
      </c>
      <c r="EW8" s="4">
        <v>0</v>
      </c>
      <c r="EX8" s="1">
        <v>12181</v>
      </c>
      <c r="EY8" s="1">
        <v>245921</v>
      </c>
      <c r="EZ8" s="1">
        <v>63807</v>
      </c>
      <c r="FA8" s="1">
        <v>2205</v>
      </c>
      <c r="FB8" s="1">
        <v>25470</v>
      </c>
      <c r="FC8" s="1">
        <v>61685</v>
      </c>
      <c r="FD8">
        <v>34</v>
      </c>
      <c r="FE8" s="1">
        <v>7653</v>
      </c>
      <c r="FF8" s="1">
        <v>125492</v>
      </c>
      <c r="FG8" s="1">
        <v>2239</v>
      </c>
      <c r="FH8" s="1">
        <v>33123</v>
      </c>
      <c r="FI8" s="1">
        <v>160854</v>
      </c>
      <c r="FJ8" s="1">
        <v>4745</v>
      </c>
      <c r="FK8">
        <v>108</v>
      </c>
      <c r="FM8" s="1">
        <v>160854</v>
      </c>
      <c r="FN8" s="1">
        <v>3230</v>
      </c>
      <c r="FO8" s="1">
        <v>3831</v>
      </c>
      <c r="FP8" s="1">
        <v>2720</v>
      </c>
      <c r="FQ8">
        <v>0</v>
      </c>
      <c r="FR8">
        <v>88</v>
      </c>
      <c r="FS8">
        <v>88</v>
      </c>
      <c r="FT8" s="1">
        <v>44141</v>
      </c>
      <c r="FU8" s="1">
        <v>3505</v>
      </c>
      <c r="FV8">
        <v>0</v>
      </c>
      <c r="FW8">
        <v>0</v>
      </c>
      <c r="FX8" s="1">
        <v>8544</v>
      </c>
      <c r="FY8" s="1">
        <v>1573</v>
      </c>
      <c r="FZ8">
        <v>322</v>
      </c>
      <c r="GA8">
        <v>0</v>
      </c>
      <c r="GB8" s="1">
        <v>5317</v>
      </c>
      <c r="GC8">
        <v>802</v>
      </c>
      <c r="GD8">
        <v>11</v>
      </c>
      <c r="GE8">
        <v>0</v>
      </c>
      <c r="GJ8" s="1">
        <v>5317</v>
      </c>
      <c r="GK8">
        <v>802</v>
      </c>
      <c r="GL8">
        <v>11</v>
      </c>
      <c r="GM8">
        <v>0</v>
      </c>
      <c r="GN8" s="1">
        <v>63319</v>
      </c>
      <c r="GO8" s="1">
        <v>6682</v>
      </c>
      <c r="GP8">
        <v>344</v>
      </c>
      <c r="GQ8">
        <v>0</v>
      </c>
      <c r="GR8">
        <v>45</v>
      </c>
      <c r="GT8" s="1">
        <v>83735</v>
      </c>
      <c r="GU8" s="1">
        <v>8811</v>
      </c>
      <c r="GV8" s="1">
        <v>113328</v>
      </c>
      <c r="GW8" s="1">
        <v>13721</v>
      </c>
      <c r="GX8">
        <v>15</v>
      </c>
      <c r="GY8" s="1">
        <v>27697</v>
      </c>
      <c r="GZ8" s="1">
        <v>97456</v>
      </c>
      <c r="HA8" s="1">
        <v>8826</v>
      </c>
      <c r="HB8" s="1">
        <v>141025</v>
      </c>
      <c r="HC8" s="1">
        <v>247307</v>
      </c>
      <c r="HD8" s="1">
        <v>4793</v>
      </c>
      <c r="HE8" s="1">
        <v>253282</v>
      </c>
      <c r="HF8" s="1">
        <v>4399</v>
      </c>
      <c r="HG8" s="1">
        <v>9232</v>
      </c>
      <c r="HH8" s="1">
        <v>1182</v>
      </c>
      <c r="HI8">
        <v>607</v>
      </c>
      <c r="HJ8" s="1">
        <v>14238</v>
      </c>
      <c r="HK8" s="1">
        <v>267520</v>
      </c>
      <c r="HL8">
        <v>27</v>
      </c>
      <c r="HM8" s="1">
        <v>2554</v>
      </c>
      <c r="HN8" s="1">
        <v>2581</v>
      </c>
      <c r="HO8">
        <v>205</v>
      </c>
      <c r="HP8" s="1">
        <v>1413</v>
      </c>
      <c r="HQ8" s="1">
        <v>1618</v>
      </c>
      <c r="HR8">
        <v>0</v>
      </c>
      <c r="HS8">
        <v>20</v>
      </c>
      <c r="HT8">
        <v>20</v>
      </c>
      <c r="HU8">
        <v>0</v>
      </c>
      <c r="HV8" s="1">
        <v>4219</v>
      </c>
      <c r="HW8" s="1">
        <v>1911</v>
      </c>
      <c r="HX8">
        <v>0</v>
      </c>
      <c r="HY8" s="1">
        <v>1911</v>
      </c>
      <c r="HZ8" s="1">
        <v>6130</v>
      </c>
      <c r="IA8" s="1">
        <v>6017</v>
      </c>
      <c r="IB8" s="1">
        <v>15269</v>
      </c>
      <c r="IC8" s="1">
        <v>271739</v>
      </c>
      <c r="ID8" s="1">
        <v>271739</v>
      </c>
      <c r="IE8" s="1">
        <v>273650</v>
      </c>
      <c r="IF8" s="1">
        <v>149851</v>
      </c>
      <c r="IG8" s="1">
        <v>1943</v>
      </c>
      <c r="IJ8">
        <v>1</v>
      </c>
      <c r="IK8" s="3">
        <v>1.7000000000000001E-2</v>
      </c>
      <c r="IL8" s="3">
        <v>4.0000000000000002E-4</v>
      </c>
      <c r="IM8" s="3">
        <v>0.28599999999999998</v>
      </c>
      <c r="IN8" s="3">
        <v>0</v>
      </c>
      <c r="IO8" s="3">
        <v>0.25750000000000001</v>
      </c>
      <c r="IP8" s="3">
        <v>4.0000000000000002E-4</v>
      </c>
      <c r="IQ8" s="3">
        <v>0.65410000000000001</v>
      </c>
      <c r="IR8" s="3">
        <v>4.0300000000000002E-2</v>
      </c>
      <c r="IS8" s="3">
        <v>0.55149999999999999</v>
      </c>
      <c r="IT8" s="1">
        <v>31903</v>
      </c>
      <c r="IU8" s="1">
        <v>7396</v>
      </c>
      <c r="IV8" s="1">
        <v>39299</v>
      </c>
      <c r="IW8" s="3">
        <v>0.76890000000000003</v>
      </c>
      <c r="IX8" s="1">
        <v>81820</v>
      </c>
      <c r="IZ8" s="1">
        <v>2651</v>
      </c>
      <c r="JA8">
        <v>0</v>
      </c>
      <c r="JB8">
        <v>253</v>
      </c>
      <c r="JC8">
        <v>20</v>
      </c>
      <c r="JD8">
        <v>0</v>
      </c>
      <c r="JE8">
        <v>30</v>
      </c>
      <c r="JF8" s="1">
        <v>2671</v>
      </c>
      <c r="JG8">
        <v>0</v>
      </c>
      <c r="JH8">
        <v>283</v>
      </c>
      <c r="JI8" s="1">
        <v>2954</v>
      </c>
      <c r="JJ8" s="1">
        <v>2904</v>
      </c>
      <c r="JK8">
        <v>50</v>
      </c>
      <c r="JL8" s="1">
        <v>14545</v>
      </c>
      <c r="JM8">
        <v>0</v>
      </c>
      <c r="JN8" s="1">
        <v>3853</v>
      </c>
      <c r="JO8">
        <v>800</v>
      </c>
      <c r="JP8">
        <v>0</v>
      </c>
      <c r="JQ8">
        <v>881</v>
      </c>
      <c r="JR8" s="1">
        <v>15345</v>
      </c>
      <c r="JS8">
        <v>0</v>
      </c>
      <c r="JT8" s="1">
        <v>4734</v>
      </c>
      <c r="JU8" s="1">
        <v>20079</v>
      </c>
      <c r="JV8" s="1">
        <v>18398</v>
      </c>
      <c r="JW8" s="1">
        <v>1681</v>
      </c>
      <c r="JX8">
        <v>6.8</v>
      </c>
      <c r="JY8">
        <v>5.75</v>
      </c>
      <c r="JZ8">
        <v>16.73</v>
      </c>
      <c r="KA8">
        <v>0.76</v>
      </c>
      <c r="KB8">
        <v>0.24</v>
      </c>
      <c r="KC8">
        <v>3</v>
      </c>
      <c r="KD8">
        <v>4</v>
      </c>
      <c r="KE8">
        <v>5</v>
      </c>
      <c r="KF8">
        <v>25</v>
      </c>
      <c r="KG8">
        <v>18</v>
      </c>
      <c r="KH8">
        <v>540</v>
      </c>
      <c r="KI8">
        <v>0</v>
      </c>
      <c r="KJ8">
        <v>0</v>
      </c>
      <c r="KK8">
        <v>16</v>
      </c>
      <c r="KL8">
        <v>192</v>
      </c>
      <c r="KM8" s="1">
        <v>31318</v>
      </c>
      <c r="KN8" s="1">
        <v>12610</v>
      </c>
      <c r="KO8">
        <v>850</v>
      </c>
      <c r="KQ8" s="1">
        <v>2651</v>
      </c>
      <c r="KR8" s="1">
        <v>20079</v>
      </c>
      <c r="KS8">
        <v>0</v>
      </c>
      <c r="KT8">
        <v>0</v>
      </c>
      <c r="KU8">
        <v>10</v>
      </c>
      <c r="KV8">
        <v>108</v>
      </c>
      <c r="KW8" s="1">
        <v>55764</v>
      </c>
      <c r="KY8" s="1">
        <v>8782</v>
      </c>
      <c r="KZ8" s="1">
        <v>20222</v>
      </c>
      <c r="LC8" t="s">
        <v>754</v>
      </c>
      <c r="LD8" t="s">
        <v>709</v>
      </c>
      <c r="LE8" t="s">
        <v>755</v>
      </c>
      <c r="LF8" t="s">
        <v>756</v>
      </c>
      <c r="LG8">
        <v>28657</v>
      </c>
      <c r="LH8">
        <v>250</v>
      </c>
      <c r="LI8" t="s">
        <v>757</v>
      </c>
      <c r="LJ8" t="s">
        <v>756</v>
      </c>
      <c r="LK8">
        <v>28657</v>
      </c>
      <c r="LL8">
        <v>250</v>
      </c>
      <c r="LM8" t="s">
        <v>758</v>
      </c>
      <c r="LN8">
        <v>8287339393</v>
      </c>
      <c r="LO8">
        <v>8287339393</v>
      </c>
      <c r="LP8" s="1">
        <v>28632</v>
      </c>
      <c r="LQ8">
        <v>10</v>
      </c>
      <c r="LS8" s="1">
        <v>11832</v>
      </c>
      <c r="LT8">
        <v>260</v>
      </c>
      <c r="LW8">
        <v>2</v>
      </c>
      <c r="LX8" t="s">
        <v>759</v>
      </c>
      <c r="LY8">
        <v>0</v>
      </c>
      <c r="LZ8" t="s">
        <v>738</v>
      </c>
      <c r="MA8">
        <v>0.81</v>
      </c>
      <c r="MB8">
        <v>15.36</v>
      </c>
    </row>
    <row r="9" spans="1:363" x14ac:dyDescent="0.25">
      <c r="A9" t="s">
        <v>760</v>
      </c>
      <c r="B9">
        <v>0</v>
      </c>
      <c r="C9">
        <v>1375</v>
      </c>
      <c r="D9">
        <v>2017</v>
      </c>
      <c r="E9">
        <v>0</v>
      </c>
      <c r="F9" t="s">
        <v>760</v>
      </c>
      <c r="G9" t="s">
        <v>761</v>
      </c>
      <c r="H9" t="s">
        <v>668</v>
      </c>
      <c r="I9" t="s">
        <v>694</v>
      </c>
      <c r="J9" t="s">
        <v>670</v>
      </c>
      <c r="K9" t="s">
        <v>671</v>
      </c>
      <c r="L9" t="s">
        <v>762</v>
      </c>
      <c r="M9" t="s">
        <v>673</v>
      </c>
      <c r="N9" s="1">
        <v>67567</v>
      </c>
      <c r="O9" t="s">
        <v>674</v>
      </c>
      <c r="P9">
        <v>463</v>
      </c>
      <c r="Q9">
        <v>30</v>
      </c>
      <c r="R9">
        <v>111</v>
      </c>
      <c r="S9">
        <v>7</v>
      </c>
      <c r="T9" s="1">
        <v>2357</v>
      </c>
      <c r="U9">
        <v>25</v>
      </c>
      <c r="V9" s="1">
        <v>6859</v>
      </c>
      <c r="W9">
        <v>592</v>
      </c>
      <c r="X9" s="1">
        <v>222547</v>
      </c>
      <c r="Y9" s="1">
        <v>20820</v>
      </c>
      <c r="Z9" t="s">
        <v>763</v>
      </c>
      <c r="AA9" t="s">
        <v>764</v>
      </c>
      <c r="AB9">
        <v>27889</v>
      </c>
      <c r="AC9">
        <v>4948</v>
      </c>
      <c r="AD9" t="s">
        <v>763</v>
      </c>
      <c r="AE9" t="s">
        <v>764</v>
      </c>
      <c r="AF9">
        <v>27889</v>
      </c>
      <c r="AG9">
        <v>1</v>
      </c>
      <c r="AH9" t="s">
        <v>765</v>
      </c>
      <c r="AJ9" t="s">
        <v>700</v>
      </c>
      <c r="AK9" t="s">
        <v>766</v>
      </c>
      <c r="AL9" t="s">
        <v>767</v>
      </c>
      <c r="AM9" t="s">
        <v>768</v>
      </c>
      <c r="AN9" t="s">
        <v>769</v>
      </c>
      <c r="AO9" t="s">
        <v>770</v>
      </c>
      <c r="AP9" t="s">
        <v>767</v>
      </c>
      <c r="AQ9" t="s">
        <v>706</v>
      </c>
      <c r="AR9" t="s">
        <v>768</v>
      </c>
      <c r="AS9" t="s">
        <v>769</v>
      </c>
      <c r="AT9" t="s">
        <v>770</v>
      </c>
      <c r="AU9" t="s">
        <v>771</v>
      </c>
      <c r="BC9">
        <v>1</v>
      </c>
      <c r="BD9">
        <v>7</v>
      </c>
      <c r="BE9">
        <v>0</v>
      </c>
      <c r="BF9">
        <v>1</v>
      </c>
      <c r="BG9">
        <v>9</v>
      </c>
      <c r="BI9" s="1">
        <v>15496</v>
      </c>
      <c r="BJ9">
        <v>2</v>
      </c>
      <c r="BK9">
        <v>1</v>
      </c>
      <c r="BL9">
        <v>3</v>
      </c>
      <c r="BM9">
        <v>15.1</v>
      </c>
      <c r="BN9">
        <v>18.100000000000001</v>
      </c>
      <c r="BO9" s="3">
        <v>0.1105</v>
      </c>
      <c r="BP9">
        <v>250</v>
      </c>
      <c r="BQ9" s="4">
        <v>50551</v>
      </c>
      <c r="BU9" s="4">
        <v>25000</v>
      </c>
      <c r="BV9" s="4">
        <v>41600</v>
      </c>
      <c r="BW9" s="4">
        <v>30533</v>
      </c>
      <c r="BY9" s="4">
        <v>38125</v>
      </c>
      <c r="CA9" s="4">
        <v>38125</v>
      </c>
      <c r="DK9" s="4">
        <v>34034</v>
      </c>
      <c r="DM9" s="4">
        <v>34034</v>
      </c>
      <c r="DO9" s="4">
        <v>21694</v>
      </c>
      <c r="DP9" s="4">
        <v>26000</v>
      </c>
      <c r="DQ9" s="4">
        <v>23847</v>
      </c>
      <c r="DS9" s="4">
        <v>30030</v>
      </c>
      <c r="DU9" s="4">
        <v>30030</v>
      </c>
      <c r="DV9" s="4">
        <v>124150</v>
      </c>
      <c r="DW9" s="4">
        <v>344732</v>
      </c>
      <c r="DX9" s="4">
        <v>468882</v>
      </c>
      <c r="DY9" s="4">
        <v>302831</v>
      </c>
      <c r="DZ9" s="4">
        <v>0</v>
      </c>
      <c r="EA9" s="4">
        <v>302831</v>
      </c>
      <c r="EB9" s="4">
        <v>40756</v>
      </c>
      <c r="EC9" s="4">
        <v>0</v>
      </c>
      <c r="ED9" s="4">
        <v>40756</v>
      </c>
      <c r="EE9" s="4">
        <v>77175</v>
      </c>
      <c r="EF9" s="4">
        <v>889644</v>
      </c>
      <c r="EG9" s="4">
        <v>473001</v>
      </c>
      <c r="EH9" s="4">
        <v>90831</v>
      </c>
      <c r="EI9" s="4">
        <v>563832</v>
      </c>
      <c r="EJ9" s="4">
        <v>49331</v>
      </c>
      <c r="EK9" s="4">
        <v>8911</v>
      </c>
      <c r="EL9" s="4">
        <v>10071</v>
      </c>
      <c r="EM9" s="4">
        <v>68313</v>
      </c>
      <c r="EN9" s="4">
        <v>257499</v>
      </c>
      <c r="EO9" s="4">
        <v>889644</v>
      </c>
      <c r="EP9" s="4">
        <v>0</v>
      </c>
      <c r="EQ9" s="3">
        <v>0</v>
      </c>
      <c r="ER9" s="4">
        <v>0</v>
      </c>
      <c r="ES9" s="4">
        <v>0</v>
      </c>
      <c r="ET9" s="4">
        <v>0</v>
      </c>
      <c r="EU9" s="4">
        <v>0</v>
      </c>
      <c r="EV9" s="4">
        <v>0</v>
      </c>
      <c r="EW9" s="4">
        <v>19078</v>
      </c>
      <c r="EX9" s="1">
        <v>11855</v>
      </c>
      <c r="EY9" s="1">
        <v>176311</v>
      </c>
      <c r="EZ9" s="1">
        <v>36055</v>
      </c>
      <c r="FA9" s="1">
        <v>1721</v>
      </c>
      <c r="FB9" s="1">
        <v>23594</v>
      </c>
      <c r="FC9" s="1">
        <v>28102</v>
      </c>
      <c r="FD9">
        <v>158</v>
      </c>
      <c r="FE9" s="1">
        <v>12287</v>
      </c>
      <c r="FF9" s="1">
        <v>64157</v>
      </c>
      <c r="FG9" s="1">
        <v>1879</v>
      </c>
      <c r="FH9" s="1">
        <v>35881</v>
      </c>
      <c r="FI9" s="1">
        <v>101917</v>
      </c>
      <c r="FJ9">
        <v>152</v>
      </c>
      <c r="FK9">
        <v>56</v>
      </c>
      <c r="FM9" s="1">
        <v>101917</v>
      </c>
      <c r="FN9" s="1">
        <v>1885</v>
      </c>
      <c r="FO9" s="1">
        <v>6151</v>
      </c>
      <c r="FP9">
        <v>37</v>
      </c>
      <c r="FQ9">
        <v>0</v>
      </c>
      <c r="FR9">
        <v>88</v>
      </c>
      <c r="FS9">
        <v>88</v>
      </c>
      <c r="FT9" s="1">
        <v>44141</v>
      </c>
      <c r="FU9" s="1">
        <v>3505</v>
      </c>
      <c r="FV9">
        <v>0</v>
      </c>
      <c r="FW9">
        <v>0</v>
      </c>
      <c r="FX9" s="1">
        <v>8544</v>
      </c>
      <c r="FY9" s="1">
        <v>1573</v>
      </c>
      <c r="FZ9">
        <v>322</v>
      </c>
      <c r="GA9">
        <v>0</v>
      </c>
      <c r="GE9">
        <v>0</v>
      </c>
      <c r="GJ9" s="1">
        <v>7576</v>
      </c>
      <c r="GK9">
        <v>314</v>
      </c>
      <c r="GL9">
        <v>0</v>
      </c>
      <c r="GM9">
        <v>50</v>
      </c>
      <c r="GN9" s="1">
        <v>60261</v>
      </c>
      <c r="GO9" s="1">
        <v>5392</v>
      </c>
      <c r="GP9">
        <v>322</v>
      </c>
      <c r="GQ9">
        <v>50</v>
      </c>
      <c r="GR9">
        <v>50</v>
      </c>
      <c r="GT9" s="1">
        <v>40829</v>
      </c>
      <c r="GU9" s="1">
        <v>1634</v>
      </c>
      <c r="GV9" s="1">
        <v>26790</v>
      </c>
      <c r="GW9" s="1">
        <v>4258</v>
      </c>
      <c r="GX9">
        <v>112</v>
      </c>
      <c r="GY9" s="1">
        <v>4223</v>
      </c>
      <c r="GZ9" s="1">
        <v>45087</v>
      </c>
      <c r="HA9" s="1">
        <v>1746</v>
      </c>
      <c r="HB9" s="1">
        <v>31013</v>
      </c>
      <c r="HC9" s="1">
        <v>77846</v>
      </c>
      <c r="HD9">
        <v>471</v>
      </c>
      <c r="HE9" s="1">
        <v>78472</v>
      </c>
      <c r="HF9" s="1">
        <v>1157</v>
      </c>
      <c r="HG9" s="1">
        <v>14256</v>
      </c>
      <c r="HH9">
        <v>155</v>
      </c>
      <c r="HI9">
        <v>78</v>
      </c>
      <c r="HJ9" s="1">
        <v>15491</v>
      </c>
      <c r="HK9" s="1">
        <v>93963</v>
      </c>
      <c r="HL9">
        <v>125</v>
      </c>
      <c r="HM9" s="1">
        <v>1046</v>
      </c>
      <c r="HN9" s="1">
        <v>1171</v>
      </c>
      <c r="HO9">
        <v>477</v>
      </c>
      <c r="HP9">
        <v>240</v>
      </c>
      <c r="HQ9">
        <v>717</v>
      </c>
      <c r="HR9">
        <v>0</v>
      </c>
      <c r="HS9">
        <v>0</v>
      </c>
      <c r="HT9">
        <v>0</v>
      </c>
      <c r="HU9">
        <v>91</v>
      </c>
      <c r="HV9" s="1">
        <v>1979</v>
      </c>
      <c r="HW9" s="1">
        <v>5021</v>
      </c>
      <c r="HX9">
        <v>0</v>
      </c>
      <c r="HY9" s="1">
        <v>5021</v>
      </c>
      <c r="HZ9" s="1">
        <v>7000</v>
      </c>
      <c r="IA9" s="1">
        <v>1874</v>
      </c>
      <c r="IB9" s="1">
        <v>16130</v>
      </c>
      <c r="IC9" s="1">
        <v>95942</v>
      </c>
      <c r="ID9" s="1">
        <v>95942</v>
      </c>
      <c r="IE9" s="1">
        <v>100963</v>
      </c>
      <c r="IF9" s="1">
        <v>31013</v>
      </c>
      <c r="IG9">
        <v>77</v>
      </c>
      <c r="IJ9">
        <v>1</v>
      </c>
      <c r="IK9" s="3">
        <v>3.6700000000000003E-2</v>
      </c>
      <c r="IL9" s="3">
        <v>2.9999999999999997E-4</v>
      </c>
      <c r="IM9" s="3">
        <v>0.3745</v>
      </c>
      <c r="IN9" s="3">
        <v>0</v>
      </c>
      <c r="IO9" s="3">
        <v>0.34179999999999999</v>
      </c>
      <c r="IP9" s="3">
        <v>5.0000000000000001E-4</v>
      </c>
      <c r="IQ9" s="3">
        <v>0.57809999999999995</v>
      </c>
      <c r="IR9" s="3">
        <v>4.1300000000000003E-2</v>
      </c>
      <c r="IS9" s="3">
        <v>0.32319999999999999</v>
      </c>
      <c r="IT9" s="1">
        <v>7738</v>
      </c>
      <c r="IU9" s="1">
        <v>2338</v>
      </c>
      <c r="IV9" s="1">
        <v>10076</v>
      </c>
      <c r="IW9" s="3">
        <v>0.14910000000000001</v>
      </c>
      <c r="IX9" s="1">
        <v>98309</v>
      </c>
      <c r="IZ9">
        <v>131</v>
      </c>
      <c r="JA9">
        <v>58</v>
      </c>
      <c r="JB9">
        <v>288</v>
      </c>
      <c r="JC9">
        <v>1</v>
      </c>
      <c r="JD9">
        <v>1</v>
      </c>
      <c r="JE9">
        <v>95</v>
      </c>
      <c r="JF9">
        <v>132</v>
      </c>
      <c r="JG9">
        <v>59</v>
      </c>
      <c r="JH9">
        <v>383</v>
      </c>
      <c r="JI9">
        <v>574</v>
      </c>
      <c r="JJ9">
        <v>477</v>
      </c>
      <c r="JK9">
        <v>97</v>
      </c>
      <c r="JL9" s="1">
        <v>1457</v>
      </c>
      <c r="JM9">
        <v>132</v>
      </c>
      <c r="JN9" s="1">
        <v>4295</v>
      </c>
      <c r="JO9">
        <v>5</v>
      </c>
      <c r="JP9">
        <v>221</v>
      </c>
      <c r="JQ9" s="1">
        <v>4376</v>
      </c>
      <c r="JR9" s="1">
        <v>1462</v>
      </c>
      <c r="JS9">
        <v>353</v>
      </c>
      <c r="JT9" s="1">
        <v>8671</v>
      </c>
      <c r="JU9" s="1">
        <v>10486</v>
      </c>
      <c r="JV9" s="1">
        <v>5884</v>
      </c>
      <c r="JW9" s="1">
        <v>4602</v>
      </c>
      <c r="JX9">
        <v>18.27</v>
      </c>
      <c r="JY9">
        <v>11.08</v>
      </c>
      <c r="JZ9">
        <v>22.64</v>
      </c>
      <c r="KA9">
        <v>0.14000000000000001</v>
      </c>
      <c r="KB9">
        <v>0.83</v>
      </c>
      <c r="KC9">
        <v>2</v>
      </c>
      <c r="KD9">
        <v>7</v>
      </c>
      <c r="KE9">
        <v>8</v>
      </c>
      <c r="KF9">
        <v>16</v>
      </c>
      <c r="KM9" s="1">
        <v>20630</v>
      </c>
      <c r="KN9" s="1">
        <v>4568</v>
      </c>
      <c r="KO9">
        <v>936</v>
      </c>
      <c r="KQ9">
        <v>90</v>
      </c>
      <c r="KR9">
        <v>922</v>
      </c>
      <c r="KS9" s="1">
        <v>4034</v>
      </c>
      <c r="KT9" s="1">
        <v>4095</v>
      </c>
      <c r="KU9">
        <v>22</v>
      </c>
      <c r="KV9">
        <v>87</v>
      </c>
      <c r="KW9" s="1">
        <v>32544</v>
      </c>
      <c r="KY9" s="1">
        <v>59000</v>
      </c>
      <c r="KZ9" s="1">
        <v>19722</v>
      </c>
      <c r="LC9" t="s">
        <v>772</v>
      </c>
      <c r="LD9" t="s">
        <v>773</v>
      </c>
      <c r="LE9" t="s">
        <v>763</v>
      </c>
      <c r="LF9" t="s">
        <v>764</v>
      </c>
      <c r="LG9">
        <v>27889</v>
      </c>
      <c r="LH9">
        <v>4948</v>
      </c>
      <c r="LI9" t="s">
        <v>763</v>
      </c>
      <c r="LJ9" t="s">
        <v>764</v>
      </c>
      <c r="LK9">
        <v>27889</v>
      </c>
      <c r="LL9">
        <v>4948</v>
      </c>
      <c r="LM9" t="s">
        <v>766</v>
      </c>
      <c r="LN9">
        <v>2529466401</v>
      </c>
      <c r="LO9">
        <v>2529460352</v>
      </c>
      <c r="LP9" s="1">
        <v>31962</v>
      </c>
      <c r="LQ9">
        <v>18.38</v>
      </c>
      <c r="LS9" s="1">
        <v>15496</v>
      </c>
      <c r="LT9">
        <v>416</v>
      </c>
      <c r="LW9">
        <v>10</v>
      </c>
      <c r="LX9" t="s">
        <v>774</v>
      </c>
      <c r="LY9">
        <v>0</v>
      </c>
      <c r="LZ9" t="s">
        <v>691</v>
      </c>
      <c r="MA9">
        <v>20</v>
      </c>
      <c r="MB9">
        <v>5</v>
      </c>
    </row>
    <row r="10" spans="1:363" x14ac:dyDescent="0.25">
      <c r="A10" t="s">
        <v>775</v>
      </c>
      <c r="B10">
        <v>0</v>
      </c>
      <c r="C10">
        <v>1375</v>
      </c>
      <c r="D10">
        <v>2017</v>
      </c>
      <c r="E10">
        <v>0</v>
      </c>
      <c r="F10" t="s">
        <v>775</v>
      </c>
      <c r="G10" t="s">
        <v>776</v>
      </c>
      <c r="H10" t="s">
        <v>668</v>
      </c>
      <c r="I10" t="s">
        <v>669</v>
      </c>
      <c r="J10" t="s">
        <v>670</v>
      </c>
      <c r="K10" t="s">
        <v>671</v>
      </c>
      <c r="L10" t="s">
        <v>672</v>
      </c>
      <c r="M10" t="s">
        <v>673</v>
      </c>
      <c r="N10" s="1">
        <v>35011</v>
      </c>
      <c r="O10" t="s">
        <v>674</v>
      </c>
      <c r="R10">
        <v>27</v>
      </c>
      <c r="S10">
        <v>0</v>
      </c>
      <c r="T10">
        <v>699</v>
      </c>
      <c r="U10">
        <v>0</v>
      </c>
      <c r="V10" s="1">
        <v>3108</v>
      </c>
      <c r="W10">
        <v>53</v>
      </c>
      <c r="Z10" t="s">
        <v>777</v>
      </c>
      <c r="AA10" t="s">
        <v>778</v>
      </c>
      <c r="AB10">
        <v>28337</v>
      </c>
      <c r="AC10">
        <v>1419</v>
      </c>
      <c r="AD10" t="s">
        <v>779</v>
      </c>
      <c r="AE10" t="s">
        <v>778</v>
      </c>
      <c r="AF10">
        <v>28337</v>
      </c>
      <c r="AG10">
        <v>1</v>
      </c>
      <c r="AH10" t="s">
        <v>780</v>
      </c>
      <c r="AJ10" t="s">
        <v>35</v>
      </c>
      <c r="AK10" t="s">
        <v>781</v>
      </c>
      <c r="AL10" t="s">
        <v>782</v>
      </c>
      <c r="AM10" t="s">
        <v>783</v>
      </c>
      <c r="AN10" t="s">
        <v>784</v>
      </c>
      <c r="AO10" t="s">
        <v>785</v>
      </c>
      <c r="AP10" t="s">
        <v>782</v>
      </c>
      <c r="AQ10" t="s">
        <v>36</v>
      </c>
      <c r="AR10" t="s">
        <v>786</v>
      </c>
      <c r="AS10" t="s">
        <v>784</v>
      </c>
      <c r="AT10" t="s">
        <v>785</v>
      </c>
      <c r="AU10" t="s">
        <v>787</v>
      </c>
      <c r="BC10">
        <v>1</v>
      </c>
      <c r="BD10">
        <v>2</v>
      </c>
      <c r="BE10">
        <v>1</v>
      </c>
      <c r="BF10">
        <v>2</v>
      </c>
      <c r="BG10">
        <v>6</v>
      </c>
      <c r="BI10" s="1">
        <v>6494</v>
      </c>
      <c r="BJ10">
        <v>1</v>
      </c>
      <c r="BK10">
        <v>0</v>
      </c>
      <c r="BL10">
        <v>1</v>
      </c>
      <c r="BM10">
        <v>9.26</v>
      </c>
      <c r="BN10">
        <v>10.26</v>
      </c>
      <c r="BO10" s="3">
        <v>9.7500000000000003E-2</v>
      </c>
      <c r="BP10">
        <v>281</v>
      </c>
      <c r="BQ10" s="4">
        <v>51192</v>
      </c>
      <c r="BT10" s="1">
        <v>43999</v>
      </c>
      <c r="BU10" s="4">
        <v>23508</v>
      </c>
      <c r="BV10" s="4">
        <v>30296</v>
      </c>
      <c r="BW10" s="4">
        <v>26902</v>
      </c>
      <c r="CG10" s="4">
        <v>34136</v>
      </c>
      <c r="CH10" s="4">
        <v>43894</v>
      </c>
      <c r="CI10" s="4">
        <v>39015</v>
      </c>
      <c r="CR10" s="4">
        <v>26165</v>
      </c>
      <c r="CS10" s="4">
        <v>33723</v>
      </c>
      <c r="CT10" s="4">
        <v>29944</v>
      </c>
      <c r="DO10" s="4">
        <v>23508</v>
      </c>
      <c r="DP10" s="4">
        <v>30296</v>
      </c>
      <c r="DQ10" s="4">
        <v>26902</v>
      </c>
      <c r="DS10" s="4">
        <v>28822</v>
      </c>
      <c r="DT10" s="4">
        <v>37149</v>
      </c>
      <c r="DU10" s="4">
        <v>32986</v>
      </c>
      <c r="DV10" s="4">
        <v>15000</v>
      </c>
      <c r="DW10" s="4">
        <v>405071</v>
      </c>
      <c r="DX10" s="4">
        <v>420071</v>
      </c>
      <c r="DY10" s="4">
        <v>95350</v>
      </c>
      <c r="DZ10" s="4">
        <v>0</v>
      </c>
      <c r="EA10" s="4">
        <v>95350</v>
      </c>
      <c r="EB10" s="4">
        <v>26049</v>
      </c>
      <c r="EC10" s="4">
        <v>0</v>
      </c>
      <c r="ED10" s="4">
        <v>26049</v>
      </c>
      <c r="EE10" s="4">
        <v>8000</v>
      </c>
      <c r="EF10" s="4">
        <v>549470</v>
      </c>
      <c r="EG10" s="4">
        <v>315020</v>
      </c>
      <c r="EH10" s="4">
        <v>119864</v>
      </c>
      <c r="EI10" s="4">
        <v>434884</v>
      </c>
      <c r="EJ10" s="4">
        <v>18340</v>
      </c>
      <c r="EK10" s="4">
        <v>3173</v>
      </c>
      <c r="EL10" s="4">
        <v>2984</v>
      </c>
      <c r="EM10" s="4">
        <v>24497</v>
      </c>
      <c r="EN10" s="4">
        <v>70795</v>
      </c>
      <c r="EO10" s="4">
        <v>530176</v>
      </c>
      <c r="EP10" s="4">
        <v>19294</v>
      </c>
      <c r="EQ10" s="3">
        <v>3.5099999999999999E-2</v>
      </c>
      <c r="ER10" s="4">
        <v>30428</v>
      </c>
      <c r="ES10" s="4">
        <v>0</v>
      </c>
      <c r="ET10" s="4">
        <v>0</v>
      </c>
      <c r="EU10" s="4">
        <v>0</v>
      </c>
      <c r="EV10" s="4">
        <v>30428</v>
      </c>
      <c r="EW10" s="4">
        <v>28791</v>
      </c>
      <c r="EX10" s="1">
        <v>8760</v>
      </c>
      <c r="EY10" s="1">
        <v>115926</v>
      </c>
      <c r="EZ10" s="1">
        <v>22620</v>
      </c>
      <c r="FA10">
        <v>33</v>
      </c>
      <c r="FB10" s="1">
        <v>10564</v>
      </c>
      <c r="FC10" s="1">
        <v>13728</v>
      </c>
      <c r="FD10">
        <v>0</v>
      </c>
      <c r="FE10" s="1">
        <v>5211</v>
      </c>
      <c r="FF10" s="1">
        <v>36348</v>
      </c>
      <c r="FG10">
        <v>33</v>
      </c>
      <c r="FH10" s="1">
        <v>15775</v>
      </c>
      <c r="FI10" s="1">
        <v>52156</v>
      </c>
      <c r="FJ10">
        <v>51</v>
      </c>
      <c r="FK10">
        <v>38</v>
      </c>
      <c r="FM10" s="1">
        <v>52156</v>
      </c>
      <c r="FN10" s="1">
        <v>2415</v>
      </c>
      <c r="FO10" s="1">
        <v>2491</v>
      </c>
      <c r="FP10">
        <v>46</v>
      </c>
      <c r="FQ10">
        <v>2</v>
      </c>
      <c r="FR10">
        <v>88</v>
      </c>
      <c r="FS10">
        <v>90</v>
      </c>
      <c r="FT10" s="1">
        <v>44141</v>
      </c>
      <c r="FU10" s="1">
        <v>3505</v>
      </c>
      <c r="FV10">
        <v>0</v>
      </c>
      <c r="FW10">
        <v>0</v>
      </c>
      <c r="FX10" s="1">
        <v>8544</v>
      </c>
      <c r="FY10" s="1">
        <v>1573</v>
      </c>
      <c r="FZ10">
        <v>322</v>
      </c>
      <c r="GA10">
        <v>0</v>
      </c>
      <c r="GJ10">
        <v>205</v>
      </c>
      <c r="GK10">
        <v>349</v>
      </c>
      <c r="GL10">
        <v>0</v>
      </c>
      <c r="GM10">
        <v>0</v>
      </c>
      <c r="GN10" s="1">
        <v>52890</v>
      </c>
      <c r="GO10" s="1">
        <v>5427</v>
      </c>
      <c r="GP10">
        <v>322</v>
      </c>
      <c r="GQ10">
        <v>0</v>
      </c>
      <c r="GR10">
        <v>15</v>
      </c>
      <c r="GT10" s="1">
        <v>10850</v>
      </c>
      <c r="GU10">
        <v>17</v>
      </c>
      <c r="GV10" s="1">
        <v>12352</v>
      </c>
      <c r="GW10" s="1">
        <v>1930</v>
      </c>
      <c r="GX10">
        <v>1</v>
      </c>
      <c r="GY10" s="1">
        <v>1449</v>
      </c>
      <c r="GZ10" s="1">
        <v>12780</v>
      </c>
      <c r="HA10">
        <v>18</v>
      </c>
      <c r="HB10" s="1">
        <v>13801</v>
      </c>
      <c r="HC10" s="1">
        <v>26599</v>
      </c>
      <c r="HD10">
        <v>23</v>
      </c>
      <c r="HE10" s="1">
        <v>26658</v>
      </c>
      <c r="HF10" s="1">
        <v>1342</v>
      </c>
      <c r="HG10" s="1">
        <v>4172</v>
      </c>
      <c r="HH10">
        <v>36</v>
      </c>
      <c r="HI10">
        <v>0</v>
      </c>
      <c r="HJ10" s="1">
        <v>5514</v>
      </c>
      <c r="HK10" s="1">
        <v>32172</v>
      </c>
      <c r="HL10">
        <v>19</v>
      </c>
      <c r="HM10">
        <v>27</v>
      </c>
      <c r="HN10">
        <v>46</v>
      </c>
      <c r="HO10">
        <v>189</v>
      </c>
      <c r="HP10">
        <v>196</v>
      </c>
      <c r="HQ10">
        <v>385</v>
      </c>
      <c r="HR10">
        <v>0</v>
      </c>
      <c r="HS10">
        <v>0</v>
      </c>
      <c r="HT10">
        <v>0</v>
      </c>
      <c r="HU10">
        <v>0</v>
      </c>
      <c r="HV10">
        <v>431</v>
      </c>
      <c r="HW10">
        <v>688</v>
      </c>
      <c r="HX10">
        <v>939</v>
      </c>
      <c r="HY10" s="1">
        <v>1627</v>
      </c>
      <c r="HZ10" s="1">
        <v>2058</v>
      </c>
      <c r="IA10" s="1">
        <v>1727</v>
      </c>
      <c r="IB10" s="1">
        <v>5899</v>
      </c>
      <c r="IC10" s="1">
        <v>32603</v>
      </c>
      <c r="ID10" s="1">
        <v>32603</v>
      </c>
      <c r="IE10" s="1">
        <v>34230</v>
      </c>
      <c r="IF10" s="1">
        <v>13819</v>
      </c>
      <c r="IG10">
        <v>0</v>
      </c>
      <c r="IK10" s="3">
        <v>2.4299999999999999E-2</v>
      </c>
      <c r="IL10" s="3">
        <v>2.9999999999999997E-4</v>
      </c>
      <c r="IM10" s="3">
        <v>0.50580000000000003</v>
      </c>
      <c r="IN10" s="3">
        <v>0</v>
      </c>
      <c r="IO10" s="3">
        <v>0.45619999999999999</v>
      </c>
      <c r="IP10" s="3">
        <v>8.0000000000000004E-4</v>
      </c>
      <c r="IQ10" s="3">
        <v>0.44990000000000002</v>
      </c>
      <c r="IR10" s="3">
        <v>6.7599999999999993E-2</v>
      </c>
      <c r="IS10" s="3">
        <v>0.4239</v>
      </c>
      <c r="IT10" s="1">
        <v>9124</v>
      </c>
      <c r="IU10" s="1">
        <v>2846</v>
      </c>
      <c r="IV10" s="1">
        <v>11970</v>
      </c>
      <c r="IW10" s="3">
        <v>0.34189999999999998</v>
      </c>
      <c r="IX10" s="1">
        <v>32485</v>
      </c>
      <c r="IZ10">
        <v>4</v>
      </c>
      <c r="JA10">
        <v>0</v>
      </c>
      <c r="JB10">
        <v>131</v>
      </c>
      <c r="JC10">
        <v>2</v>
      </c>
      <c r="JD10">
        <v>0</v>
      </c>
      <c r="JE10">
        <v>171</v>
      </c>
      <c r="JF10">
        <v>6</v>
      </c>
      <c r="JG10">
        <v>0</v>
      </c>
      <c r="JH10">
        <v>302</v>
      </c>
      <c r="JI10">
        <v>308</v>
      </c>
      <c r="JJ10">
        <v>135</v>
      </c>
      <c r="JK10">
        <v>173</v>
      </c>
      <c r="JL10">
        <v>118</v>
      </c>
      <c r="JM10">
        <v>0</v>
      </c>
      <c r="JN10" s="1">
        <v>2982</v>
      </c>
      <c r="JO10">
        <v>93</v>
      </c>
      <c r="JP10">
        <v>0</v>
      </c>
      <c r="JQ10" s="1">
        <v>3025</v>
      </c>
      <c r="JR10">
        <v>211</v>
      </c>
      <c r="JS10">
        <v>0</v>
      </c>
      <c r="JT10" s="1">
        <v>6007</v>
      </c>
      <c r="JU10" s="1">
        <v>6218</v>
      </c>
      <c r="JV10" s="1">
        <v>3100</v>
      </c>
      <c r="JW10" s="1">
        <v>3118</v>
      </c>
      <c r="JX10">
        <v>20.190000000000001</v>
      </c>
      <c r="JY10">
        <v>35.17</v>
      </c>
      <c r="JZ10">
        <v>19.89</v>
      </c>
      <c r="KA10">
        <v>0.03</v>
      </c>
      <c r="KB10">
        <v>0.97</v>
      </c>
      <c r="KC10">
        <v>0</v>
      </c>
      <c r="KD10">
        <v>0</v>
      </c>
      <c r="KE10">
        <v>0</v>
      </c>
      <c r="KF10">
        <v>0</v>
      </c>
      <c r="KG10">
        <v>302</v>
      </c>
      <c r="KH10" s="1">
        <v>6007</v>
      </c>
      <c r="KI10">
        <v>0</v>
      </c>
      <c r="KJ10">
        <v>0</v>
      </c>
      <c r="KK10">
        <v>0</v>
      </c>
      <c r="KL10">
        <v>0</v>
      </c>
      <c r="KM10" s="1">
        <v>3342</v>
      </c>
      <c r="KN10">
        <v>637</v>
      </c>
      <c r="KO10">
        <v>359</v>
      </c>
      <c r="KQ10">
        <v>138</v>
      </c>
      <c r="KR10" s="1">
        <v>1579</v>
      </c>
      <c r="KS10">
        <v>649</v>
      </c>
      <c r="KT10">
        <v>161</v>
      </c>
      <c r="KU10">
        <v>14</v>
      </c>
      <c r="KV10">
        <v>13</v>
      </c>
      <c r="KW10" s="1">
        <v>8272</v>
      </c>
      <c r="KY10" s="1">
        <v>16280</v>
      </c>
      <c r="LC10" t="s">
        <v>780</v>
      </c>
      <c r="LD10" t="s">
        <v>709</v>
      </c>
      <c r="LE10" t="s">
        <v>777</v>
      </c>
      <c r="LF10" t="s">
        <v>778</v>
      </c>
      <c r="LG10">
        <v>28337</v>
      </c>
      <c r="LH10">
        <v>1419</v>
      </c>
      <c r="LI10" t="s">
        <v>779</v>
      </c>
      <c r="LJ10" t="s">
        <v>778</v>
      </c>
      <c r="LK10">
        <v>28337</v>
      </c>
      <c r="LL10">
        <v>4</v>
      </c>
      <c r="LM10" t="s">
        <v>781</v>
      </c>
      <c r="LN10">
        <v>9108626990</v>
      </c>
      <c r="LO10">
        <v>9108628777</v>
      </c>
      <c r="LP10" s="1">
        <v>15132</v>
      </c>
      <c r="LQ10">
        <v>10.26</v>
      </c>
      <c r="LS10" s="1">
        <v>6494</v>
      </c>
      <c r="LT10">
        <v>201</v>
      </c>
      <c r="LW10">
        <v>2</v>
      </c>
      <c r="LX10" t="s">
        <v>788</v>
      </c>
      <c r="LY10">
        <v>1</v>
      </c>
      <c r="LZ10" t="s">
        <v>691</v>
      </c>
      <c r="MA10">
        <v>25</v>
      </c>
      <c r="MB10">
        <v>5</v>
      </c>
    </row>
    <row r="11" spans="1:363" x14ac:dyDescent="0.25">
      <c r="A11" t="s">
        <v>789</v>
      </c>
      <c r="B11">
        <v>0</v>
      </c>
      <c r="C11">
        <v>1375</v>
      </c>
      <c r="D11">
        <v>2017</v>
      </c>
      <c r="E11">
        <v>0</v>
      </c>
      <c r="F11" t="s">
        <v>789</v>
      </c>
      <c r="G11" t="s">
        <v>790</v>
      </c>
      <c r="H11" t="s">
        <v>668</v>
      </c>
      <c r="I11" t="s">
        <v>694</v>
      </c>
      <c r="J11" t="s">
        <v>670</v>
      </c>
      <c r="K11" t="s">
        <v>671</v>
      </c>
      <c r="L11" t="s">
        <v>791</v>
      </c>
      <c r="M11" t="s">
        <v>673</v>
      </c>
      <c r="N11" s="1">
        <v>89067</v>
      </c>
      <c r="P11" s="1">
        <v>1517</v>
      </c>
      <c r="Q11">
        <v>60</v>
      </c>
      <c r="R11">
        <v>7</v>
      </c>
      <c r="S11">
        <v>11</v>
      </c>
      <c r="T11" s="1">
        <v>1728</v>
      </c>
      <c r="U11">
        <v>80</v>
      </c>
      <c r="V11" s="1">
        <v>25104</v>
      </c>
      <c r="W11" s="1">
        <v>2641</v>
      </c>
      <c r="Z11" t="s">
        <v>792</v>
      </c>
      <c r="AA11" t="s">
        <v>793</v>
      </c>
      <c r="AB11">
        <v>27804</v>
      </c>
      <c r="AC11">
        <v>4842</v>
      </c>
      <c r="AD11" t="s">
        <v>792</v>
      </c>
      <c r="AE11" t="s">
        <v>793</v>
      </c>
      <c r="AF11">
        <v>27804</v>
      </c>
      <c r="AG11">
        <v>2</v>
      </c>
      <c r="AH11" t="s">
        <v>794</v>
      </c>
      <c r="AJ11" t="s">
        <v>35</v>
      </c>
      <c r="AK11" t="s">
        <v>795</v>
      </c>
      <c r="AL11" t="s">
        <v>796</v>
      </c>
      <c r="AM11" t="s">
        <v>797</v>
      </c>
      <c r="AN11" t="s">
        <v>798</v>
      </c>
      <c r="AO11" t="s">
        <v>799</v>
      </c>
      <c r="AP11" t="s">
        <v>800</v>
      </c>
      <c r="AQ11" t="s">
        <v>706</v>
      </c>
      <c r="AR11" t="s">
        <v>797</v>
      </c>
      <c r="AS11" t="s">
        <v>798</v>
      </c>
      <c r="AT11" t="s">
        <v>799</v>
      </c>
      <c r="AU11" t="s">
        <v>801</v>
      </c>
      <c r="BC11">
        <v>1</v>
      </c>
      <c r="BD11">
        <v>2</v>
      </c>
      <c r="BE11">
        <v>0</v>
      </c>
      <c r="BF11">
        <v>3</v>
      </c>
      <c r="BG11">
        <v>6</v>
      </c>
      <c r="BI11" s="1">
        <v>4628</v>
      </c>
      <c r="BJ11">
        <v>8.9</v>
      </c>
      <c r="BK11">
        <v>0</v>
      </c>
      <c r="BL11">
        <v>8.9</v>
      </c>
      <c r="BM11">
        <v>17.22</v>
      </c>
      <c r="BN11">
        <v>26.12</v>
      </c>
      <c r="BO11" s="3">
        <v>0.3407</v>
      </c>
      <c r="BP11">
        <v>746</v>
      </c>
      <c r="BQ11" s="4">
        <v>76600</v>
      </c>
      <c r="BT11" s="1">
        <v>65063</v>
      </c>
      <c r="BY11" s="4">
        <v>52087</v>
      </c>
      <c r="BZ11" s="4">
        <v>52087</v>
      </c>
      <c r="CA11" s="4">
        <v>52087</v>
      </c>
      <c r="CC11" s="4">
        <v>48853</v>
      </c>
      <c r="CD11" s="4">
        <v>48853</v>
      </c>
      <c r="CE11" s="1">
        <v>48853</v>
      </c>
      <c r="CG11" s="4">
        <v>43860</v>
      </c>
      <c r="CH11" s="4">
        <v>43860</v>
      </c>
      <c r="CI11" s="4">
        <v>43860</v>
      </c>
      <c r="CO11" s="4">
        <v>60910</v>
      </c>
      <c r="CP11" s="4">
        <v>62292</v>
      </c>
      <c r="CQ11" s="4">
        <v>61601</v>
      </c>
      <c r="CR11" s="4">
        <v>43291</v>
      </c>
      <c r="CS11" s="4">
        <v>43291</v>
      </c>
      <c r="CT11" s="4">
        <v>43291</v>
      </c>
      <c r="CV11" s="4">
        <v>37867</v>
      </c>
      <c r="CW11" s="4">
        <v>37867</v>
      </c>
      <c r="CX11" s="4">
        <v>37867</v>
      </c>
      <c r="DH11" s="4">
        <v>34649</v>
      </c>
      <c r="DI11" s="4">
        <v>43540</v>
      </c>
      <c r="DJ11" s="4">
        <v>39095</v>
      </c>
      <c r="DO11" s="4">
        <v>25459</v>
      </c>
      <c r="DP11" s="4">
        <v>40270</v>
      </c>
      <c r="DQ11" s="4">
        <v>33724</v>
      </c>
      <c r="DS11" s="4">
        <v>39936</v>
      </c>
      <c r="DT11" s="4">
        <v>39936</v>
      </c>
      <c r="DU11" s="4">
        <v>39936</v>
      </c>
      <c r="DV11" s="4">
        <v>613260</v>
      </c>
      <c r="DW11" s="4">
        <v>1059684</v>
      </c>
      <c r="DX11" s="4">
        <v>1672944</v>
      </c>
      <c r="DY11" s="4">
        <v>130598</v>
      </c>
      <c r="DZ11" s="4">
        <v>0</v>
      </c>
      <c r="EA11" s="4">
        <v>130598</v>
      </c>
      <c r="EB11" s="4">
        <v>1807</v>
      </c>
      <c r="EC11" s="4">
        <v>0</v>
      </c>
      <c r="ED11" s="4">
        <v>1807</v>
      </c>
      <c r="EE11" s="4">
        <v>329501</v>
      </c>
      <c r="EF11" s="4">
        <v>2134850</v>
      </c>
      <c r="EG11" s="4">
        <v>1018644</v>
      </c>
      <c r="EH11" s="4">
        <v>320163</v>
      </c>
      <c r="EI11" s="4">
        <v>1338807</v>
      </c>
      <c r="EJ11" s="4">
        <v>77446</v>
      </c>
      <c r="EK11" s="4">
        <v>25855</v>
      </c>
      <c r="EL11" s="4">
        <v>21603</v>
      </c>
      <c r="EM11" s="4">
        <v>124904</v>
      </c>
      <c r="EN11" s="4">
        <v>592092</v>
      </c>
      <c r="EO11" s="4">
        <v>2055803</v>
      </c>
      <c r="EP11" s="4">
        <v>79047</v>
      </c>
      <c r="EQ11" s="3">
        <v>3.6999999999999998E-2</v>
      </c>
      <c r="ER11" s="4">
        <v>37081</v>
      </c>
      <c r="ES11" s="4">
        <v>0</v>
      </c>
      <c r="ET11" s="4">
        <v>0</v>
      </c>
      <c r="EU11" s="4">
        <v>0</v>
      </c>
      <c r="EV11" s="4">
        <v>37081</v>
      </c>
      <c r="EW11" s="4">
        <v>0</v>
      </c>
      <c r="EX11" s="1">
        <v>10905</v>
      </c>
      <c r="EY11" s="1">
        <v>183840</v>
      </c>
      <c r="EZ11" s="1">
        <v>19805</v>
      </c>
      <c r="FA11" s="1">
        <v>4155</v>
      </c>
      <c r="FB11" s="1">
        <v>28794</v>
      </c>
      <c r="FC11" s="1">
        <v>22832</v>
      </c>
      <c r="FD11" s="1">
        <v>1249</v>
      </c>
      <c r="FE11" s="1">
        <v>13149</v>
      </c>
      <c r="FF11" s="1">
        <v>42637</v>
      </c>
      <c r="FG11" s="1">
        <v>5404</v>
      </c>
      <c r="FH11" s="1">
        <v>41943</v>
      </c>
      <c r="FI11" s="1">
        <v>89984</v>
      </c>
      <c r="FJ11">
        <v>0</v>
      </c>
      <c r="FK11">
        <v>81</v>
      </c>
      <c r="FM11" s="1">
        <v>89984</v>
      </c>
      <c r="FN11" s="1">
        <v>3279</v>
      </c>
      <c r="FO11" s="1">
        <v>2374</v>
      </c>
      <c r="FP11" s="1">
        <v>1485</v>
      </c>
      <c r="FQ11">
        <v>3</v>
      </c>
      <c r="FR11">
        <v>88</v>
      </c>
      <c r="FS11">
        <v>91</v>
      </c>
      <c r="FT11" s="1">
        <v>44141</v>
      </c>
      <c r="FU11" s="1">
        <v>3505</v>
      </c>
      <c r="FV11">
        <v>0</v>
      </c>
      <c r="FW11">
        <v>0</v>
      </c>
      <c r="FX11" s="1">
        <v>8544</v>
      </c>
      <c r="FY11" s="1">
        <v>1573</v>
      </c>
      <c r="FZ11">
        <v>322</v>
      </c>
      <c r="GA11">
        <v>0</v>
      </c>
      <c r="GB11" s="1">
        <v>26436</v>
      </c>
      <c r="GC11" s="1">
        <v>1747</v>
      </c>
      <c r="GD11">
        <v>278</v>
      </c>
      <c r="GE11">
        <v>0</v>
      </c>
      <c r="GJ11">
        <v>0</v>
      </c>
      <c r="GK11">
        <v>0</v>
      </c>
      <c r="GL11">
        <v>0</v>
      </c>
      <c r="GM11">
        <v>0</v>
      </c>
      <c r="GN11" s="1">
        <v>79121</v>
      </c>
      <c r="GO11" s="1">
        <v>6825</v>
      </c>
      <c r="GP11">
        <v>600</v>
      </c>
      <c r="GQ11">
        <v>0</v>
      </c>
      <c r="GR11">
        <v>45</v>
      </c>
      <c r="GT11" s="1">
        <v>50812</v>
      </c>
      <c r="GU11" s="1">
        <v>8471</v>
      </c>
      <c r="GV11" s="1">
        <v>68238</v>
      </c>
      <c r="GW11" s="1">
        <v>17196</v>
      </c>
      <c r="GX11">
        <v>718</v>
      </c>
      <c r="GY11" s="1">
        <v>12666</v>
      </c>
      <c r="GZ11" s="1">
        <v>68008</v>
      </c>
      <c r="HA11" s="1">
        <v>9189</v>
      </c>
      <c r="HB11" s="1">
        <v>80904</v>
      </c>
      <c r="HC11" s="1">
        <v>158101</v>
      </c>
      <c r="HD11">
        <v>475</v>
      </c>
      <c r="HE11" s="1">
        <v>158576</v>
      </c>
      <c r="HF11" s="1">
        <v>7756</v>
      </c>
      <c r="HG11" s="1">
        <v>26070</v>
      </c>
      <c r="HH11">
        <v>0</v>
      </c>
      <c r="HI11" s="1">
        <v>1129</v>
      </c>
      <c r="HJ11" s="1">
        <v>34955</v>
      </c>
      <c r="HK11" s="1">
        <v>193531</v>
      </c>
      <c r="HL11">
        <v>12</v>
      </c>
      <c r="HM11" s="1">
        <v>17968</v>
      </c>
      <c r="HN11" s="1">
        <v>17980</v>
      </c>
      <c r="HO11">
        <v>45</v>
      </c>
      <c r="HP11" s="1">
        <v>2550</v>
      </c>
      <c r="HQ11" s="1">
        <v>2595</v>
      </c>
      <c r="HR11">
        <v>0</v>
      </c>
      <c r="HS11">
        <v>32</v>
      </c>
      <c r="HT11">
        <v>32</v>
      </c>
      <c r="HU11">
        <v>523</v>
      </c>
      <c r="HV11" s="1">
        <v>21130</v>
      </c>
      <c r="HW11">
        <v>467</v>
      </c>
      <c r="HX11" s="1">
        <v>8263</v>
      </c>
      <c r="HY11" s="1">
        <v>8730</v>
      </c>
      <c r="HZ11" s="1">
        <v>29860</v>
      </c>
      <c r="IA11" s="1">
        <v>10351</v>
      </c>
      <c r="IB11" s="1">
        <v>36453</v>
      </c>
      <c r="IC11" s="1">
        <v>214661</v>
      </c>
      <c r="ID11" s="1">
        <v>214661</v>
      </c>
      <c r="IE11" s="1">
        <v>223391</v>
      </c>
      <c r="IF11" s="1">
        <v>101798</v>
      </c>
      <c r="IG11" s="1">
        <v>4939</v>
      </c>
      <c r="IJ11">
        <v>1</v>
      </c>
      <c r="IK11" s="3">
        <v>1.6199999999999999E-2</v>
      </c>
      <c r="IL11" s="3">
        <v>4.0000000000000002E-4</v>
      </c>
      <c r="IM11" s="3">
        <v>0.4708</v>
      </c>
      <c r="IN11" s="3">
        <v>0</v>
      </c>
      <c r="IO11" s="3">
        <v>0.4304</v>
      </c>
      <c r="IP11" s="3">
        <v>5.0000000000000001E-4</v>
      </c>
      <c r="IQ11" s="3">
        <v>0.48949999999999999</v>
      </c>
      <c r="IR11" s="3">
        <v>5.5E-2</v>
      </c>
      <c r="IS11" s="3">
        <v>0.47420000000000001</v>
      </c>
      <c r="IT11" s="1">
        <v>34381</v>
      </c>
      <c r="IU11" s="1">
        <v>10507</v>
      </c>
      <c r="IV11" s="1">
        <v>44888</v>
      </c>
      <c r="IW11" s="3">
        <v>0.504</v>
      </c>
      <c r="IX11" s="1">
        <v>184379</v>
      </c>
      <c r="IZ11">
        <v>657</v>
      </c>
      <c r="JA11">
        <v>70</v>
      </c>
      <c r="JB11">
        <v>251</v>
      </c>
      <c r="JC11">
        <v>22</v>
      </c>
      <c r="JD11">
        <v>2</v>
      </c>
      <c r="JE11">
        <v>936</v>
      </c>
      <c r="JF11">
        <v>679</v>
      </c>
      <c r="JG11">
        <v>72</v>
      </c>
      <c r="JH11" s="1">
        <v>1187</v>
      </c>
      <c r="JI11" s="1">
        <v>1938</v>
      </c>
      <c r="JJ11">
        <v>978</v>
      </c>
      <c r="JK11">
        <v>960</v>
      </c>
      <c r="JL11" s="1">
        <v>2238</v>
      </c>
      <c r="JM11">
        <v>712</v>
      </c>
      <c r="JN11" s="1">
        <v>10239</v>
      </c>
      <c r="JO11">
        <v>178</v>
      </c>
      <c r="JP11">
        <v>171</v>
      </c>
      <c r="JQ11" s="1">
        <v>29330</v>
      </c>
      <c r="JR11" s="1">
        <v>2416</v>
      </c>
      <c r="JS11">
        <v>883</v>
      </c>
      <c r="JT11" s="1">
        <v>39569</v>
      </c>
      <c r="JU11" s="1">
        <v>42868</v>
      </c>
      <c r="JV11" s="1">
        <v>13189</v>
      </c>
      <c r="JW11" s="1">
        <v>29679</v>
      </c>
      <c r="JX11">
        <v>22.12</v>
      </c>
      <c r="JY11">
        <v>3.56</v>
      </c>
      <c r="JZ11">
        <v>33.340000000000003</v>
      </c>
      <c r="KA11">
        <v>0.06</v>
      </c>
      <c r="KB11">
        <v>0.92</v>
      </c>
      <c r="KC11">
        <v>137</v>
      </c>
      <c r="KD11">
        <v>422</v>
      </c>
      <c r="KE11">
        <v>143</v>
      </c>
      <c r="KF11">
        <v>702</v>
      </c>
      <c r="KM11" s="1">
        <v>33983</v>
      </c>
      <c r="KN11" s="1">
        <v>12642</v>
      </c>
      <c r="KO11" s="1">
        <v>4126</v>
      </c>
      <c r="KQ11">
        <v>365</v>
      </c>
      <c r="KR11" s="1">
        <v>9848</v>
      </c>
      <c r="KS11" s="1">
        <v>4340</v>
      </c>
      <c r="KT11" s="1">
        <v>5758</v>
      </c>
      <c r="KU11">
        <v>36</v>
      </c>
      <c r="KV11">
        <v>86</v>
      </c>
      <c r="KW11" s="1">
        <v>120741</v>
      </c>
      <c r="KY11" s="1">
        <v>134037</v>
      </c>
      <c r="KZ11" s="1">
        <v>69696</v>
      </c>
      <c r="LC11" t="s">
        <v>802</v>
      </c>
      <c r="LD11" t="s">
        <v>803</v>
      </c>
      <c r="LE11" t="s">
        <v>792</v>
      </c>
      <c r="LF11" t="s">
        <v>793</v>
      </c>
      <c r="LG11">
        <v>27804</v>
      </c>
      <c r="LH11">
        <v>4842</v>
      </c>
      <c r="LI11" t="s">
        <v>792</v>
      </c>
      <c r="LJ11" t="s">
        <v>793</v>
      </c>
      <c r="LK11">
        <v>27804</v>
      </c>
      <c r="LL11">
        <v>4842</v>
      </c>
      <c r="LM11" t="s">
        <v>795</v>
      </c>
      <c r="LN11">
        <v>2524421951</v>
      </c>
      <c r="LO11">
        <v>2524427366</v>
      </c>
      <c r="LP11" s="1">
        <v>60756</v>
      </c>
      <c r="LQ11">
        <v>26.3</v>
      </c>
      <c r="LS11" s="1">
        <v>4628</v>
      </c>
      <c r="LT11">
        <v>156</v>
      </c>
      <c r="LW11">
        <v>2</v>
      </c>
      <c r="LX11" t="s">
        <v>790</v>
      </c>
      <c r="LY11">
        <v>0</v>
      </c>
      <c r="LZ11" t="s">
        <v>691</v>
      </c>
      <c r="MA11">
        <v>50</v>
      </c>
      <c r="MB11">
        <v>50</v>
      </c>
    </row>
    <row r="12" spans="1:363" x14ac:dyDescent="0.25">
      <c r="A12" t="s">
        <v>804</v>
      </c>
      <c r="B12">
        <v>0</v>
      </c>
      <c r="C12">
        <v>1375</v>
      </c>
      <c r="D12">
        <v>2017</v>
      </c>
      <c r="E12">
        <v>0</v>
      </c>
      <c r="F12" t="s">
        <v>804</v>
      </c>
      <c r="G12" t="s">
        <v>805</v>
      </c>
      <c r="H12" t="s">
        <v>668</v>
      </c>
      <c r="I12" t="s">
        <v>669</v>
      </c>
      <c r="J12" t="s">
        <v>670</v>
      </c>
      <c r="K12" t="s">
        <v>671</v>
      </c>
      <c r="L12" t="s">
        <v>672</v>
      </c>
      <c r="M12" t="s">
        <v>673</v>
      </c>
      <c r="N12" s="1">
        <v>123535</v>
      </c>
      <c r="O12" t="s">
        <v>806</v>
      </c>
      <c r="P12">
        <v>659</v>
      </c>
      <c r="R12">
        <v>50</v>
      </c>
      <c r="S12">
        <v>0</v>
      </c>
      <c r="T12" s="1">
        <v>2876</v>
      </c>
      <c r="V12" s="1">
        <v>21004</v>
      </c>
      <c r="X12" s="1">
        <v>286734</v>
      </c>
      <c r="Z12" t="s">
        <v>807</v>
      </c>
      <c r="AA12" t="s">
        <v>808</v>
      </c>
      <c r="AB12">
        <v>28461</v>
      </c>
      <c r="AC12">
        <v>3827</v>
      </c>
      <c r="AD12" t="s">
        <v>807</v>
      </c>
      <c r="AE12" t="s">
        <v>808</v>
      </c>
      <c r="AF12">
        <v>28461</v>
      </c>
      <c r="AG12">
        <v>3</v>
      </c>
      <c r="AH12" t="s">
        <v>809</v>
      </c>
      <c r="AJ12" t="s">
        <v>35</v>
      </c>
      <c r="AK12" t="s">
        <v>810</v>
      </c>
      <c r="AL12" t="s">
        <v>811</v>
      </c>
      <c r="AM12" t="s">
        <v>812</v>
      </c>
      <c r="AN12" t="s">
        <v>813</v>
      </c>
      <c r="AO12" t="s">
        <v>814</v>
      </c>
      <c r="AP12" t="s">
        <v>811</v>
      </c>
      <c r="AQ12" t="s">
        <v>706</v>
      </c>
      <c r="AR12" t="s">
        <v>812</v>
      </c>
      <c r="AS12" t="s">
        <v>813</v>
      </c>
      <c r="AT12" t="s">
        <v>814</v>
      </c>
      <c r="AU12" t="s">
        <v>815</v>
      </c>
      <c r="BC12">
        <v>0</v>
      </c>
      <c r="BD12">
        <v>5</v>
      </c>
      <c r="BE12">
        <v>0</v>
      </c>
      <c r="BF12">
        <v>0</v>
      </c>
      <c r="BG12">
        <v>5</v>
      </c>
      <c r="BI12" s="1">
        <v>11850</v>
      </c>
      <c r="BJ12">
        <v>1</v>
      </c>
      <c r="BK12">
        <v>0</v>
      </c>
      <c r="BL12">
        <v>1</v>
      </c>
      <c r="BM12">
        <v>16</v>
      </c>
      <c r="BN12">
        <v>17</v>
      </c>
      <c r="BO12" s="3">
        <v>5.8799999999999998E-2</v>
      </c>
      <c r="BP12" s="1">
        <v>3722</v>
      </c>
      <c r="BQ12" s="4">
        <v>109769</v>
      </c>
      <c r="BT12">
        <v>0</v>
      </c>
      <c r="BU12" s="4">
        <v>44986</v>
      </c>
      <c r="BV12" s="4">
        <v>71979</v>
      </c>
      <c r="BW12" s="4">
        <v>58483</v>
      </c>
      <c r="DO12" s="4">
        <v>28678</v>
      </c>
      <c r="DP12" s="4">
        <v>45886</v>
      </c>
      <c r="DQ12" s="4">
        <v>37281</v>
      </c>
      <c r="DV12" s="4">
        <v>0</v>
      </c>
      <c r="DW12" s="4">
        <v>1177800</v>
      </c>
      <c r="DX12" s="4">
        <v>1177800</v>
      </c>
      <c r="DY12" s="4">
        <v>142232</v>
      </c>
      <c r="DZ12" s="4">
        <v>0</v>
      </c>
      <c r="EA12" s="4">
        <v>142232</v>
      </c>
      <c r="EB12" s="4">
        <v>0</v>
      </c>
      <c r="EC12" s="4">
        <v>0</v>
      </c>
      <c r="ED12" s="4">
        <v>0</v>
      </c>
      <c r="EE12" s="4">
        <v>0</v>
      </c>
      <c r="EF12" s="4">
        <v>1320032</v>
      </c>
      <c r="EG12" s="4">
        <v>682917</v>
      </c>
      <c r="EH12" s="4">
        <v>305199</v>
      </c>
      <c r="EI12" s="4">
        <v>988116</v>
      </c>
      <c r="EJ12" s="4">
        <v>67691</v>
      </c>
      <c r="EK12" s="4">
        <v>10000</v>
      </c>
      <c r="EL12" s="4">
        <v>4831</v>
      </c>
      <c r="EM12" s="4">
        <v>82522</v>
      </c>
      <c r="EN12" s="4">
        <v>175523</v>
      </c>
      <c r="EO12" s="4">
        <v>1246161</v>
      </c>
      <c r="EP12" s="4">
        <v>73871</v>
      </c>
      <c r="EQ12" s="3">
        <v>5.6000000000000001E-2</v>
      </c>
      <c r="ER12" s="4">
        <v>24000</v>
      </c>
      <c r="ES12" s="4">
        <v>0</v>
      </c>
      <c r="ET12" s="4">
        <v>0</v>
      </c>
      <c r="EU12" s="4">
        <v>0</v>
      </c>
      <c r="EV12" s="4">
        <v>24000</v>
      </c>
      <c r="EW12" s="4">
        <v>19513</v>
      </c>
      <c r="EX12" s="1">
        <v>14210</v>
      </c>
      <c r="EY12" s="1">
        <v>234117</v>
      </c>
      <c r="EZ12" s="1">
        <v>46947</v>
      </c>
      <c r="FA12" s="1">
        <v>22127</v>
      </c>
      <c r="FB12" s="1">
        <v>31472</v>
      </c>
      <c r="FC12" s="1">
        <v>44222</v>
      </c>
      <c r="FE12" s="1">
        <v>12138</v>
      </c>
      <c r="FF12" s="1">
        <v>91169</v>
      </c>
      <c r="FH12" s="1">
        <v>43610</v>
      </c>
      <c r="FI12" s="1">
        <v>156906</v>
      </c>
      <c r="FJ12" s="1">
        <v>5000</v>
      </c>
      <c r="FK12">
        <v>130</v>
      </c>
      <c r="FM12" s="1">
        <v>156906</v>
      </c>
      <c r="FN12" s="1">
        <v>4248</v>
      </c>
      <c r="FO12" s="1">
        <v>6457</v>
      </c>
      <c r="FP12">
        <v>0</v>
      </c>
      <c r="FQ12">
        <v>1</v>
      </c>
      <c r="FR12">
        <v>88</v>
      </c>
      <c r="FS12">
        <v>89</v>
      </c>
      <c r="FT12" s="1">
        <v>44141</v>
      </c>
      <c r="FU12" s="1">
        <v>3505</v>
      </c>
      <c r="FV12">
        <v>0</v>
      </c>
      <c r="FW12">
        <v>0</v>
      </c>
      <c r="FX12" s="1">
        <v>8544</v>
      </c>
      <c r="FY12" s="1">
        <v>1573</v>
      </c>
      <c r="FZ12">
        <v>322</v>
      </c>
      <c r="GA12">
        <v>0</v>
      </c>
      <c r="GE12">
        <v>0</v>
      </c>
      <c r="GJ12" s="1">
        <v>3202</v>
      </c>
      <c r="GK12">
        <v>0</v>
      </c>
      <c r="GL12">
        <v>0</v>
      </c>
      <c r="GM12">
        <v>0</v>
      </c>
      <c r="GN12" s="1">
        <v>55887</v>
      </c>
      <c r="GO12" s="1">
        <v>5078</v>
      </c>
      <c r="GP12">
        <v>322</v>
      </c>
      <c r="GQ12">
        <v>0</v>
      </c>
      <c r="GR12">
        <v>55</v>
      </c>
      <c r="GT12" s="1">
        <v>188875</v>
      </c>
      <c r="GV12" s="1">
        <v>61830</v>
      </c>
      <c r="GW12" s="1">
        <v>36900</v>
      </c>
      <c r="GY12" s="1">
        <v>9170</v>
      </c>
      <c r="GZ12" s="1">
        <v>225775</v>
      </c>
      <c r="HB12" s="1">
        <v>71000</v>
      </c>
      <c r="HC12" s="1">
        <v>296775</v>
      </c>
      <c r="HD12">
        <v>500</v>
      </c>
      <c r="HE12" s="1">
        <v>302275</v>
      </c>
      <c r="HF12" s="1">
        <v>15223</v>
      </c>
      <c r="HG12" s="1">
        <v>40479</v>
      </c>
      <c r="HH12" s="1">
        <v>5000</v>
      </c>
      <c r="HI12">
        <v>0</v>
      </c>
      <c r="HJ12" s="1">
        <v>55702</v>
      </c>
      <c r="HK12" s="1">
        <v>357977</v>
      </c>
      <c r="HL12">
        <v>128</v>
      </c>
      <c r="HM12" s="1">
        <v>17118</v>
      </c>
      <c r="HN12" s="1">
        <v>17246</v>
      </c>
      <c r="HO12" s="1">
        <v>1309</v>
      </c>
      <c r="HP12">
        <v>0</v>
      </c>
      <c r="HQ12" s="1">
        <v>1309</v>
      </c>
      <c r="HR12">
        <v>0</v>
      </c>
      <c r="HS12">
        <v>1</v>
      </c>
      <c r="HT12">
        <v>1</v>
      </c>
      <c r="HU12">
        <v>0</v>
      </c>
      <c r="HV12" s="1">
        <v>18556</v>
      </c>
      <c r="HW12" s="1">
        <v>29045</v>
      </c>
      <c r="HX12">
        <v>0</v>
      </c>
      <c r="HY12" s="1">
        <v>29045</v>
      </c>
      <c r="HZ12" s="1">
        <v>47601</v>
      </c>
      <c r="IA12" s="1">
        <v>16532</v>
      </c>
      <c r="IB12" s="1">
        <v>57012</v>
      </c>
      <c r="IC12" s="1">
        <v>376533</v>
      </c>
      <c r="ID12" s="1">
        <v>376533</v>
      </c>
      <c r="IE12" s="1">
        <v>405578</v>
      </c>
      <c r="IF12" s="1">
        <v>71000</v>
      </c>
      <c r="IG12">
        <v>0</v>
      </c>
      <c r="IK12" s="3">
        <v>2.9000000000000001E-2</v>
      </c>
      <c r="IL12" s="3">
        <v>5.9999999999999995E-4</v>
      </c>
      <c r="IM12" s="3">
        <v>0.26179999999999998</v>
      </c>
      <c r="IN12" s="3">
        <v>0</v>
      </c>
      <c r="IO12" s="3">
        <v>0.2387</v>
      </c>
      <c r="IP12" s="3">
        <v>4.0000000000000002E-4</v>
      </c>
      <c r="IQ12" s="3">
        <v>0.67020000000000002</v>
      </c>
      <c r="IR12" s="3">
        <v>3.9800000000000002E-2</v>
      </c>
      <c r="IS12" s="3">
        <v>0.18859999999999999</v>
      </c>
      <c r="IT12" s="1">
        <v>45707</v>
      </c>
      <c r="IU12" s="1">
        <v>10328</v>
      </c>
      <c r="IV12" s="1">
        <v>56035</v>
      </c>
      <c r="IW12" s="3">
        <v>0.4536</v>
      </c>
      <c r="IX12" s="1">
        <v>261917</v>
      </c>
      <c r="IZ12" s="1">
        <v>1172</v>
      </c>
      <c r="JA12">
        <v>0</v>
      </c>
      <c r="JB12">
        <v>235</v>
      </c>
      <c r="JC12">
        <v>0</v>
      </c>
      <c r="JD12">
        <v>0</v>
      </c>
      <c r="JE12">
        <v>1</v>
      </c>
      <c r="JF12" s="1">
        <v>1172</v>
      </c>
      <c r="JG12">
        <v>0</v>
      </c>
      <c r="JH12">
        <v>236</v>
      </c>
      <c r="JI12" s="1">
        <v>1408</v>
      </c>
      <c r="JJ12" s="1">
        <v>1407</v>
      </c>
      <c r="JK12">
        <v>1</v>
      </c>
      <c r="JL12" s="1">
        <v>19688</v>
      </c>
      <c r="JM12">
        <v>0</v>
      </c>
      <c r="JN12" s="1">
        <v>4893</v>
      </c>
      <c r="JO12">
        <v>0</v>
      </c>
      <c r="JP12">
        <v>0</v>
      </c>
      <c r="JQ12">
        <v>42</v>
      </c>
      <c r="JR12" s="1">
        <v>19688</v>
      </c>
      <c r="JS12">
        <v>0</v>
      </c>
      <c r="JT12" s="1">
        <v>4935</v>
      </c>
      <c r="JU12" s="1">
        <v>24623</v>
      </c>
      <c r="JV12" s="1">
        <v>24581</v>
      </c>
      <c r="JW12">
        <v>42</v>
      </c>
      <c r="JX12">
        <v>17.489999999999998</v>
      </c>
      <c r="JY12">
        <v>16.8</v>
      </c>
      <c r="JZ12">
        <v>20.91</v>
      </c>
      <c r="KA12">
        <v>0.8</v>
      </c>
      <c r="KB12">
        <v>0.2</v>
      </c>
      <c r="KC12">
        <v>0</v>
      </c>
      <c r="KD12">
        <v>0</v>
      </c>
      <c r="KE12">
        <v>20</v>
      </c>
      <c r="KF12">
        <v>137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 s="1">
        <v>55048</v>
      </c>
      <c r="KN12" s="1">
        <v>10175</v>
      </c>
      <c r="KO12" s="1">
        <v>2442</v>
      </c>
      <c r="KS12">
        <v>28</v>
      </c>
      <c r="KT12">
        <v>289</v>
      </c>
      <c r="KU12">
        <v>16</v>
      </c>
      <c r="KV12">
        <v>65</v>
      </c>
      <c r="KW12" s="1">
        <v>76173</v>
      </c>
      <c r="KZ12" s="1">
        <v>14071</v>
      </c>
      <c r="LC12" t="s">
        <v>816</v>
      </c>
      <c r="LD12" t="s">
        <v>709</v>
      </c>
      <c r="LE12" t="s">
        <v>807</v>
      </c>
      <c r="LF12" t="s">
        <v>808</v>
      </c>
      <c r="LG12">
        <v>28461</v>
      </c>
      <c r="LH12">
        <v>3827</v>
      </c>
      <c r="LI12" t="s">
        <v>807</v>
      </c>
      <c r="LJ12" t="s">
        <v>808</v>
      </c>
      <c r="LK12">
        <v>28461</v>
      </c>
      <c r="LL12">
        <v>3827</v>
      </c>
      <c r="LM12" t="s">
        <v>810</v>
      </c>
      <c r="LN12">
        <v>9104576237</v>
      </c>
      <c r="LO12">
        <v>9104576977</v>
      </c>
      <c r="LP12" s="1">
        <v>33856</v>
      </c>
      <c r="LQ12">
        <v>16</v>
      </c>
      <c r="LS12" s="1">
        <v>11850</v>
      </c>
      <c r="LT12">
        <v>260</v>
      </c>
      <c r="LW12">
        <v>2</v>
      </c>
      <c r="LX12" t="s">
        <v>817</v>
      </c>
      <c r="LY12">
        <v>0</v>
      </c>
      <c r="LZ12" t="s">
        <v>738</v>
      </c>
      <c r="MA12">
        <v>23.83</v>
      </c>
      <c r="MB12">
        <v>63.92</v>
      </c>
    </row>
    <row r="13" spans="1:363" x14ac:dyDescent="0.25">
      <c r="A13" t="s">
        <v>818</v>
      </c>
      <c r="B13">
        <v>0</v>
      </c>
      <c r="C13">
        <v>1375</v>
      </c>
      <c r="D13">
        <v>2017</v>
      </c>
      <c r="E13">
        <v>0</v>
      </c>
      <c r="F13" t="s">
        <v>818</v>
      </c>
      <c r="G13" t="s">
        <v>819</v>
      </c>
      <c r="H13" t="s">
        <v>668</v>
      </c>
      <c r="I13" t="s">
        <v>669</v>
      </c>
      <c r="J13" t="s">
        <v>670</v>
      </c>
      <c r="K13" t="s">
        <v>671</v>
      </c>
      <c r="L13" t="s">
        <v>672</v>
      </c>
      <c r="M13" t="s">
        <v>673</v>
      </c>
      <c r="N13" s="1">
        <v>254836</v>
      </c>
      <c r="O13" t="s">
        <v>674</v>
      </c>
      <c r="P13" s="1">
        <v>5869</v>
      </c>
      <c r="Q13">
        <v>409</v>
      </c>
      <c r="R13">
        <v>573</v>
      </c>
      <c r="S13">
        <v>21</v>
      </c>
      <c r="T13" s="1">
        <v>22499</v>
      </c>
      <c r="U13">
        <v>479</v>
      </c>
      <c r="V13" s="1">
        <v>163454</v>
      </c>
      <c r="W13" s="1">
        <v>13532</v>
      </c>
      <c r="X13" s="1">
        <v>10787964</v>
      </c>
      <c r="Y13" s="1">
        <v>3653640</v>
      </c>
      <c r="Z13" t="s">
        <v>820</v>
      </c>
      <c r="AA13" t="s">
        <v>821</v>
      </c>
      <c r="AB13">
        <v>28801</v>
      </c>
      <c r="AC13">
        <v>2834</v>
      </c>
      <c r="AD13" t="s">
        <v>820</v>
      </c>
      <c r="AE13" t="s">
        <v>821</v>
      </c>
      <c r="AF13">
        <v>28801</v>
      </c>
      <c r="AG13">
        <v>3</v>
      </c>
      <c r="AH13" t="s">
        <v>822</v>
      </c>
      <c r="AJ13" t="s">
        <v>35</v>
      </c>
      <c r="AK13" t="s">
        <v>823</v>
      </c>
      <c r="AL13" t="s">
        <v>824</v>
      </c>
      <c r="AM13" t="s">
        <v>825</v>
      </c>
      <c r="AO13" t="s">
        <v>826</v>
      </c>
      <c r="AP13" t="s">
        <v>827</v>
      </c>
      <c r="AQ13" t="s">
        <v>36</v>
      </c>
      <c r="AR13" t="s">
        <v>825</v>
      </c>
      <c r="AT13" t="s">
        <v>826</v>
      </c>
      <c r="AU13" t="s">
        <v>828</v>
      </c>
      <c r="BC13">
        <v>1</v>
      </c>
      <c r="BD13">
        <v>12</v>
      </c>
      <c r="BE13">
        <v>0</v>
      </c>
      <c r="BF13">
        <v>0</v>
      </c>
      <c r="BG13">
        <v>13</v>
      </c>
      <c r="BI13" s="1">
        <v>32084</v>
      </c>
      <c r="BJ13">
        <v>11</v>
      </c>
      <c r="BK13">
        <v>1</v>
      </c>
      <c r="BL13">
        <v>12</v>
      </c>
      <c r="BM13">
        <v>46</v>
      </c>
      <c r="BN13">
        <v>58</v>
      </c>
      <c r="BO13" s="3">
        <v>0.18970000000000001</v>
      </c>
      <c r="BP13" s="1">
        <v>6500</v>
      </c>
      <c r="BQ13" s="4">
        <v>110777</v>
      </c>
      <c r="BU13" s="4">
        <v>38870</v>
      </c>
      <c r="BV13" s="4">
        <v>59363</v>
      </c>
      <c r="BW13" s="4">
        <v>43594</v>
      </c>
      <c r="BY13" s="4">
        <v>46325</v>
      </c>
      <c r="BZ13" s="4">
        <v>70816</v>
      </c>
      <c r="CA13" s="4">
        <v>51206</v>
      </c>
      <c r="CC13" s="4">
        <v>50540</v>
      </c>
      <c r="CD13" s="4">
        <v>77305</v>
      </c>
      <c r="CE13" s="1">
        <v>53059</v>
      </c>
      <c r="CG13" s="4">
        <v>46325</v>
      </c>
      <c r="CH13" s="4">
        <v>70816</v>
      </c>
      <c r="CI13" s="4">
        <v>48410</v>
      </c>
      <c r="CK13" s="4">
        <v>42420</v>
      </c>
      <c r="CL13" s="4">
        <v>64851</v>
      </c>
      <c r="CM13" s="1">
        <v>52492</v>
      </c>
      <c r="CR13" s="4">
        <v>38870</v>
      </c>
      <c r="CS13" s="4">
        <v>59363</v>
      </c>
      <c r="CT13" s="4">
        <v>43514</v>
      </c>
      <c r="CV13" s="4">
        <v>38870</v>
      </c>
      <c r="CW13" s="4">
        <v>59636</v>
      </c>
      <c r="CX13" s="4">
        <v>43514</v>
      </c>
      <c r="DK13" s="4">
        <v>31150</v>
      </c>
      <c r="DL13" s="4">
        <v>47625</v>
      </c>
      <c r="DM13" s="4">
        <v>33151</v>
      </c>
      <c r="DO13" s="4">
        <v>27289</v>
      </c>
      <c r="DP13" s="4">
        <v>41803</v>
      </c>
      <c r="DQ13" s="4">
        <v>31266</v>
      </c>
      <c r="DV13" s="4">
        <v>0</v>
      </c>
      <c r="DW13" s="4">
        <v>4716312</v>
      </c>
      <c r="DX13" s="4">
        <v>4716312</v>
      </c>
      <c r="DY13" s="4">
        <v>228020</v>
      </c>
      <c r="DZ13" s="4">
        <v>0</v>
      </c>
      <c r="EA13" s="4">
        <v>228020</v>
      </c>
      <c r="EB13" s="4">
        <v>0</v>
      </c>
      <c r="EC13" s="4">
        <v>0</v>
      </c>
      <c r="ED13" s="4">
        <v>0</v>
      </c>
      <c r="EE13" s="4">
        <v>227500</v>
      </c>
      <c r="EF13" s="4">
        <v>5171832</v>
      </c>
      <c r="EG13" s="4">
        <v>2578210</v>
      </c>
      <c r="EH13" s="4">
        <v>1249207</v>
      </c>
      <c r="EI13" s="4">
        <v>3827417</v>
      </c>
      <c r="EJ13" s="4">
        <v>528129</v>
      </c>
      <c r="EK13" s="4">
        <v>138703</v>
      </c>
      <c r="EL13" s="4">
        <v>0</v>
      </c>
      <c r="EM13" s="4">
        <v>666832</v>
      </c>
      <c r="EN13" s="4">
        <v>677583</v>
      </c>
      <c r="EO13" s="4">
        <v>5171832</v>
      </c>
      <c r="EP13" s="4">
        <v>0</v>
      </c>
      <c r="EQ13" s="3">
        <v>0</v>
      </c>
      <c r="ER13" s="4">
        <v>0</v>
      </c>
      <c r="ES13" s="4">
        <v>0</v>
      </c>
      <c r="ET13" s="4">
        <v>0</v>
      </c>
      <c r="EU13" s="4">
        <v>0</v>
      </c>
      <c r="EV13" s="4">
        <v>0</v>
      </c>
      <c r="EW13" s="4">
        <v>0</v>
      </c>
      <c r="EX13" s="1">
        <v>80652</v>
      </c>
      <c r="EY13" s="1">
        <v>677713</v>
      </c>
      <c r="EZ13" s="1">
        <v>150569</v>
      </c>
      <c r="FA13" s="1">
        <v>18767</v>
      </c>
      <c r="FB13" s="1">
        <v>125930</v>
      </c>
      <c r="FC13" s="1">
        <v>141498</v>
      </c>
      <c r="FD13" s="1">
        <v>7552</v>
      </c>
      <c r="FE13" s="1">
        <v>55916</v>
      </c>
      <c r="FF13" s="1">
        <v>292067</v>
      </c>
      <c r="FG13" s="1">
        <v>26319</v>
      </c>
      <c r="FH13" s="1">
        <v>181846</v>
      </c>
      <c r="FI13" s="1">
        <v>500232</v>
      </c>
      <c r="FJ13" s="1">
        <v>2730</v>
      </c>
      <c r="FK13">
        <v>610</v>
      </c>
      <c r="FM13" s="1">
        <v>500232</v>
      </c>
      <c r="FN13" s="1">
        <v>43090</v>
      </c>
      <c r="FO13" s="1">
        <v>20114</v>
      </c>
      <c r="FP13">
        <v>411</v>
      </c>
      <c r="FQ13">
        <v>8</v>
      </c>
      <c r="FR13">
        <v>88</v>
      </c>
      <c r="FS13">
        <v>96</v>
      </c>
      <c r="FT13" s="1">
        <v>44141</v>
      </c>
      <c r="FU13" s="1">
        <v>3505</v>
      </c>
      <c r="FV13">
        <v>0</v>
      </c>
      <c r="FW13">
        <v>0</v>
      </c>
      <c r="FX13" s="1">
        <v>8544</v>
      </c>
      <c r="FY13" s="1">
        <v>1573</v>
      </c>
      <c r="FZ13">
        <v>322</v>
      </c>
      <c r="GA13">
        <v>0</v>
      </c>
      <c r="GF13" s="1">
        <v>36593</v>
      </c>
      <c r="GG13" s="1">
        <v>13194</v>
      </c>
      <c r="GH13">
        <v>264</v>
      </c>
      <c r="GI13">
        <v>12</v>
      </c>
      <c r="GJ13" s="1">
        <v>1739</v>
      </c>
      <c r="GK13">
        <v>485</v>
      </c>
      <c r="GL13">
        <v>0</v>
      </c>
      <c r="GM13">
        <v>58</v>
      </c>
      <c r="GN13" s="1">
        <v>91017</v>
      </c>
      <c r="GO13" s="1">
        <v>18757</v>
      </c>
      <c r="GP13">
        <v>586</v>
      </c>
      <c r="GQ13">
        <v>70</v>
      </c>
      <c r="GR13">
        <v>210</v>
      </c>
      <c r="GT13" s="1">
        <v>402382</v>
      </c>
      <c r="GU13" s="1">
        <v>25797</v>
      </c>
      <c r="GV13" s="1">
        <v>404035</v>
      </c>
      <c r="GW13" s="1">
        <v>165138</v>
      </c>
      <c r="GX13" s="1">
        <v>14309</v>
      </c>
      <c r="GY13" s="1">
        <v>103624</v>
      </c>
      <c r="GZ13" s="1">
        <v>567520</v>
      </c>
      <c r="HA13" s="1">
        <v>40106</v>
      </c>
      <c r="HB13" s="1">
        <v>507659</v>
      </c>
      <c r="HC13" s="1">
        <v>1115285</v>
      </c>
      <c r="HD13">
        <v>24</v>
      </c>
      <c r="HE13" s="1">
        <v>1133800</v>
      </c>
      <c r="HF13" s="1">
        <v>150007</v>
      </c>
      <c r="HG13" s="1">
        <v>144320</v>
      </c>
      <c r="HH13" s="1">
        <v>18491</v>
      </c>
      <c r="HI13" s="1">
        <v>2394</v>
      </c>
      <c r="HJ13" s="1">
        <v>296721</v>
      </c>
      <c r="HK13" s="1">
        <v>1430521</v>
      </c>
      <c r="HL13">
        <v>193</v>
      </c>
      <c r="HM13" s="1">
        <v>140751</v>
      </c>
      <c r="HN13" s="1">
        <v>140944</v>
      </c>
      <c r="HO13">
        <v>675</v>
      </c>
      <c r="HP13" s="1">
        <v>86425</v>
      </c>
      <c r="HQ13" s="1">
        <v>87100</v>
      </c>
      <c r="HR13">
        <v>0</v>
      </c>
      <c r="HS13">
        <v>823</v>
      </c>
      <c r="HT13">
        <v>823</v>
      </c>
      <c r="HU13" s="1">
        <v>8414</v>
      </c>
      <c r="HV13" s="1">
        <v>237281</v>
      </c>
      <c r="HW13" s="1">
        <v>163459</v>
      </c>
      <c r="HX13" s="1">
        <v>2605</v>
      </c>
      <c r="HY13" s="1">
        <v>166064</v>
      </c>
      <c r="HZ13" s="1">
        <v>403345</v>
      </c>
      <c r="IA13" s="1">
        <v>237107</v>
      </c>
      <c r="IB13" s="1">
        <v>382250</v>
      </c>
      <c r="IC13" s="1">
        <v>1667802</v>
      </c>
      <c r="ID13" s="1">
        <v>1667802</v>
      </c>
      <c r="IE13" s="1">
        <v>1833866</v>
      </c>
      <c r="IF13" s="1">
        <v>548076</v>
      </c>
      <c r="IG13" s="1">
        <v>1134</v>
      </c>
      <c r="IJ13">
        <v>1</v>
      </c>
      <c r="IK13" s="3">
        <v>3.0499999999999999E-2</v>
      </c>
      <c r="IL13" s="3">
        <v>8.9999999999999998E-4</v>
      </c>
      <c r="IM13" s="3">
        <v>0.16289999999999999</v>
      </c>
      <c r="IN13" s="3">
        <v>0</v>
      </c>
      <c r="IO13" s="3">
        <v>0.1343</v>
      </c>
      <c r="IP13" s="3">
        <v>1E-4</v>
      </c>
      <c r="IQ13" s="3">
        <v>0.73809999999999998</v>
      </c>
      <c r="IR13" s="3">
        <v>9.1300000000000006E-2</v>
      </c>
      <c r="IS13" s="3">
        <v>0.3286</v>
      </c>
      <c r="IT13" s="1">
        <v>109022</v>
      </c>
      <c r="IU13" s="1">
        <v>20302</v>
      </c>
      <c r="IV13" s="1">
        <v>129324</v>
      </c>
      <c r="IW13" s="3">
        <v>0.50749999999999995</v>
      </c>
      <c r="IX13" s="1">
        <v>2004537</v>
      </c>
      <c r="IZ13">
        <v>504</v>
      </c>
      <c r="JA13">
        <v>53</v>
      </c>
      <c r="JB13" s="1">
        <v>2033</v>
      </c>
      <c r="JC13">
        <v>9</v>
      </c>
      <c r="JD13">
        <v>0</v>
      </c>
      <c r="JE13" s="1">
        <v>2402</v>
      </c>
      <c r="JF13">
        <v>513</v>
      </c>
      <c r="JG13">
        <v>53</v>
      </c>
      <c r="JH13" s="1">
        <v>4435</v>
      </c>
      <c r="JI13" s="1">
        <v>5001</v>
      </c>
      <c r="JJ13" s="1">
        <v>2590</v>
      </c>
      <c r="JK13" s="1">
        <v>2411</v>
      </c>
      <c r="JL13" s="1">
        <v>15134</v>
      </c>
      <c r="JM13">
        <v>373</v>
      </c>
      <c r="JN13" s="1">
        <v>57806</v>
      </c>
      <c r="JO13">
        <v>514</v>
      </c>
      <c r="JP13">
        <v>0</v>
      </c>
      <c r="JQ13" s="1">
        <v>47985</v>
      </c>
      <c r="JR13" s="1">
        <v>15648</v>
      </c>
      <c r="JS13">
        <v>373</v>
      </c>
      <c r="JT13" s="1">
        <v>105791</v>
      </c>
      <c r="JU13" s="1">
        <v>121812</v>
      </c>
      <c r="JV13" s="1">
        <v>73313</v>
      </c>
      <c r="JW13" s="1">
        <v>48499</v>
      </c>
      <c r="JX13">
        <v>24.36</v>
      </c>
      <c r="JY13">
        <v>30.5</v>
      </c>
      <c r="JZ13">
        <v>23.85</v>
      </c>
      <c r="KA13">
        <v>0.13</v>
      </c>
      <c r="KB13">
        <v>0.87</v>
      </c>
      <c r="KC13">
        <v>3</v>
      </c>
      <c r="KD13">
        <v>120</v>
      </c>
      <c r="KE13">
        <v>146</v>
      </c>
      <c r="KF13">
        <v>230</v>
      </c>
      <c r="KM13" s="1">
        <v>111744</v>
      </c>
      <c r="KN13" s="1">
        <v>14892</v>
      </c>
      <c r="KO13" s="1">
        <v>2981</v>
      </c>
      <c r="KQ13" s="1">
        <v>1055</v>
      </c>
      <c r="KR13" s="1">
        <v>61801</v>
      </c>
      <c r="KS13" s="1">
        <v>35699</v>
      </c>
      <c r="KT13" s="1">
        <v>44554</v>
      </c>
      <c r="KU13">
        <v>82</v>
      </c>
      <c r="KV13">
        <v>162</v>
      </c>
      <c r="KW13" s="1">
        <v>92771</v>
      </c>
      <c r="KY13" s="1">
        <v>220500</v>
      </c>
      <c r="KZ13" s="1">
        <v>29258</v>
      </c>
      <c r="LC13" t="s">
        <v>829</v>
      </c>
      <c r="LD13" t="s">
        <v>709</v>
      </c>
      <c r="LE13" t="s">
        <v>820</v>
      </c>
      <c r="LF13" t="s">
        <v>821</v>
      </c>
      <c r="LG13">
        <v>28801</v>
      </c>
      <c r="LH13">
        <v>2834</v>
      </c>
      <c r="LI13" t="s">
        <v>820</v>
      </c>
      <c r="LJ13" t="s">
        <v>821</v>
      </c>
      <c r="LK13">
        <v>28801</v>
      </c>
      <c r="LL13">
        <v>2834</v>
      </c>
      <c r="LM13" t="s">
        <v>823</v>
      </c>
      <c r="LN13">
        <v>8282504700</v>
      </c>
      <c r="LP13" s="1">
        <v>118803</v>
      </c>
      <c r="LQ13">
        <v>58</v>
      </c>
      <c r="LS13" s="1">
        <v>32084</v>
      </c>
      <c r="LT13">
        <v>676</v>
      </c>
      <c r="LW13">
        <v>2</v>
      </c>
      <c r="LX13" t="s">
        <v>830</v>
      </c>
      <c r="LY13">
        <v>0</v>
      </c>
      <c r="LZ13" t="s">
        <v>691</v>
      </c>
      <c r="MA13">
        <v>95.55</v>
      </c>
      <c r="MB13">
        <v>94</v>
      </c>
    </row>
    <row r="14" spans="1:363" x14ac:dyDescent="0.25">
      <c r="A14" t="s">
        <v>831</v>
      </c>
      <c r="B14">
        <v>0</v>
      </c>
      <c r="C14">
        <v>1375</v>
      </c>
      <c r="D14">
        <v>2017</v>
      </c>
      <c r="E14">
        <v>0</v>
      </c>
      <c r="F14" t="s">
        <v>831</v>
      </c>
      <c r="G14" t="s">
        <v>832</v>
      </c>
      <c r="H14" t="s">
        <v>668</v>
      </c>
      <c r="I14" t="s">
        <v>669</v>
      </c>
      <c r="J14" t="s">
        <v>670</v>
      </c>
      <c r="K14" t="s">
        <v>671</v>
      </c>
      <c r="L14" t="s">
        <v>672</v>
      </c>
      <c r="M14" t="s">
        <v>673</v>
      </c>
      <c r="N14" s="1">
        <v>89048</v>
      </c>
      <c r="O14" t="s">
        <v>674</v>
      </c>
      <c r="P14">
        <v>640</v>
      </c>
      <c r="Q14">
        <v>175</v>
      </c>
      <c r="R14">
        <v>185</v>
      </c>
      <c r="S14">
        <v>29</v>
      </c>
      <c r="T14" s="1">
        <v>4398</v>
      </c>
      <c r="U14">
        <v>936</v>
      </c>
      <c r="V14" s="1">
        <v>21942</v>
      </c>
      <c r="W14" s="1">
        <v>4057</v>
      </c>
      <c r="X14" s="1">
        <v>233334</v>
      </c>
      <c r="Z14" t="s">
        <v>833</v>
      </c>
      <c r="AA14" t="s">
        <v>834</v>
      </c>
      <c r="AB14">
        <v>28655</v>
      </c>
      <c r="AC14">
        <v>3535</v>
      </c>
      <c r="AD14" t="s">
        <v>833</v>
      </c>
      <c r="AE14" t="s">
        <v>834</v>
      </c>
      <c r="AF14">
        <v>28655</v>
      </c>
      <c r="AG14">
        <v>2</v>
      </c>
      <c r="AH14" t="s">
        <v>835</v>
      </c>
      <c r="AJ14" t="s">
        <v>35</v>
      </c>
      <c r="AK14" t="s">
        <v>836</v>
      </c>
      <c r="AL14" t="s">
        <v>837</v>
      </c>
      <c r="AM14" t="s">
        <v>838</v>
      </c>
      <c r="AN14" t="s">
        <v>839</v>
      </c>
      <c r="AO14" t="s">
        <v>840</v>
      </c>
      <c r="AP14" t="s">
        <v>837</v>
      </c>
      <c r="AQ14" t="s">
        <v>706</v>
      </c>
      <c r="AR14" t="s">
        <v>838</v>
      </c>
      <c r="AS14" t="s">
        <v>839</v>
      </c>
      <c r="AT14" t="s">
        <v>840</v>
      </c>
      <c r="AU14" t="s">
        <v>841</v>
      </c>
      <c r="BC14">
        <v>1</v>
      </c>
      <c r="BD14">
        <v>2</v>
      </c>
      <c r="BE14">
        <v>0</v>
      </c>
      <c r="BF14">
        <v>1</v>
      </c>
      <c r="BG14">
        <v>4</v>
      </c>
      <c r="BI14" s="1">
        <v>7332</v>
      </c>
      <c r="BJ14">
        <v>2</v>
      </c>
      <c r="BK14">
        <v>2</v>
      </c>
      <c r="BL14">
        <v>4</v>
      </c>
      <c r="BM14">
        <v>17.05</v>
      </c>
      <c r="BN14">
        <v>21.05</v>
      </c>
      <c r="BO14" s="3">
        <v>9.5000000000000001E-2</v>
      </c>
      <c r="BP14" s="1">
        <v>3800</v>
      </c>
      <c r="BQ14" s="4">
        <v>72400</v>
      </c>
      <c r="BT14" s="1">
        <v>45125</v>
      </c>
      <c r="CV14" s="4">
        <v>35501</v>
      </c>
      <c r="CW14" s="4">
        <v>55026</v>
      </c>
      <c r="CX14" s="4">
        <v>37120</v>
      </c>
      <c r="DH14" s="4">
        <v>35501</v>
      </c>
      <c r="DI14" s="4">
        <v>55026</v>
      </c>
      <c r="DJ14" s="4">
        <v>36395</v>
      </c>
      <c r="DO14" s="4">
        <v>22883</v>
      </c>
      <c r="DP14" s="4">
        <v>35470</v>
      </c>
      <c r="DQ14" s="4">
        <v>24641</v>
      </c>
      <c r="DV14" s="4">
        <v>277250</v>
      </c>
      <c r="DW14" s="4">
        <v>815522</v>
      </c>
      <c r="DX14" s="4">
        <v>1092772</v>
      </c>
      <c r="DY14" s="4">
        <v>139533</v>
      </c>
      <c r="DZ14" s="4">
        <v>0</v>
      </c>
      <c r="EA14" s="4">
        <v>139533</v>
      </c>
      <c r="EB14" s="4">
        <v>21547</v>
      </c>
      <c r="EC14" s="4">
        <v>5316</v>
      </c>
      <c r="ED14" s="4">
        <v>26863</v>
      </c>
      <c r="EE14" s="4">
        <v>44834</v>
      </c>
      <c r="EF14" s="4">
        <v>1304002</v>
      </c>
      <c r="EG14" s="4">
        <v>705404</v>
      </c>
      <c r="EH14" s="4">
        <v>272136</v>
      </c>
      <c r="EI14" s="4">
        <v>977540</v>
      </c>
      <c r="EJ14" s="4">
        <v>111322</v>
      </c>
      <c r="EK14" s="4">
        <v>16010</v>
      </c>
      <c r="EL14" s="4">
        <v>3774</v>
      </c>
      <c r="EM14" s="4">
        <v>131106</v>
      </c>
      <c r="EN14" s="4">
        <v>217638</v>
      </c>
      <c r="EO14" s="4">
        <v>1326284</v>
      </c>
      <c r="EP14" s="4">
        <v>-22282</v>
      </c>
      <c r="EQ14" s="3">
        <v>-1.7100000000000001E-2</v>
      </c>
      <c r="ER14" s="4">
        <v>50500</v>
      </c>
      <c r="ES14" s="4">
        <v>0</v>
      </c>
      <c r="ET14" s="4">
        <v>0</v>
      </c>
      <c r="EU14" s="4">
        <v>0</v>
      </c>
      <c r="EV14" s="4">
        <v>50500</v>
      </c>
      <c r="EW14" s="4">
        <v>36418</v>
      </c>
      <c r="EX14" s="1">
        <v>11269</v>
      </c>
      <c r="EY14" s="1">
        <v>222042</v>
      </c>
      <c r="EZ14" s="1">
        <v>37385</v>
      </c>
      <c r="FA14" s="1">
        <v>7155</v>
      </c>
      <c r="FB14" s="1">
        <v>28375</v>
      </c>
      <c r="FC14" s="1">
        <v>36749</v>
      </c>
      <c r="FD14" s="1">
        <v>2205</v>
      </c>
      <c r="FE14" s="1">
        <v>14068</v>
      </c>
      <c r="FF14" s="1">
        <v>74134</v>
      </c>
      <c r="FG14" s="1">
        <v>9360</v>
      </c>
      <c r="FH14" s="1">
        <v>42443</v>
      </c>
      <c r="FI14" s="1">
        <v>125937</v>
      </c>
      <c r="FJ14" s="1">
        <v>1789</v>
      </c>
      <c r="FK14">
        <v>90</v>
      </c>
      <c r="FM14" s="1">
        <v>125937</v>
      </c>
      <c r="FN14" s="1">
        <v>4027</v>
      </c>
      <c r="FO14" s="1">
        <v>1837</v>
      </c>
      <c r="FP14">
        <v>801</v>
      </c>
      <c r="FQ14">
        <v>1</v>
      </c>
      <c r="FR14">
        <v>88</v>
      </c>
      <c r="FS14">
        <v>89</v>
      </c>
      <c r="FT14" s="1">
        <v>44141</v>
      </c>
      <c r="FU14" s="1">
        <v>3505</v>
      </c>
      <c r="FV14">
        <v>0</v>
      </c>
      <c r="FW14">
        <v>0</v>
      </c>
      <c r="FX14" s="1">
        <v>8544</v>
      </c>
      <c r="FY14" s="1">
        <v>1573</v>
      </c>
      <c r="FZ14">
        <v>322</v>
      </c>
      <c r="GA14">
        <v>0</v>
      </c>
      <c r="GB14" s="1">
        <v>26436</v>
      </c>
      <c r="GC14" s="1">
        <v>1747</v>
      </c>
      <c r="GD14">
        <v>278</v>
      </c>
      <c r="GJ14">
        <v>773</v>
      </c>
      <c r="GK14">
        <v>85</v>
      </c>
      <c r="GL14">
        <v>68</v>
      </c>
      <c r="GM14">
        <v>0</v>
      </c>
      <c r="GN14" s="1">
        <v>79894</v>
      </c>
      <c r="GO14" s="1">
        <v>6910</v>
      </c>
      <c r="GP14">
        <v>668</v>
      </c>
      <c r="GQ14">
        <v>0</v>
      </c>
      <c r="GR14">
        <v>92</v>
      </c>
      <c r="GT14" s="1">
        <v>59154</v>
      </c>
      <c r="GU14" s="1">
        <v>8868</v>
      </c>
      <c r="GV14" s="1">
        <v>48359</v>
      </c>
      <c r="GW14" s="1">
        <v>23151</v>
      </c>
      <c r="GX14" s="1">
        <v>2573</v>
      </c>
      <c r="GY14" s="1">
        <v>11330</v>
      </c>
      <c r="GZ14" s="1">
        <v>82305</v>
      </c>
      <c r="HA14" s="1">
        <v>11441</v>
      </c>
      <c r="HB14" s="1">
        <v>59689</v>
      </c>
      <c r="HC14" s="1">
        <v>153435</v>
      </c>
      <c r="HD14">
        <v>207</v>
      </c>
      <c r="HE14" s="1">
        <v>153699</v>
      </c>
      <c r="HF14" s="1">
        <v>4974</v>
      </c>
      <c r="HG14" s="1">
        <v>1969</v>
      </c>
      <c r="HH14">
        <v>57</v>
      </c>
      <c r="HI14" s="1">
        <v>6493</v>
      </c>
      <c r="HJ14" s="1">
        <v>13436</v>
      </c>
      <c r="HK14" s="1">
        <v>167135</v>
      </c>
      <c r="HL14">
        <v>43</v>
      </c>
      <c r="HM14" s="1">
        <v>15464</v>
      </c>
      <c r="HN14" s="1">
        <v>15507</v>
      </c>
      <c r="HO14">
        <v>374</v>
      </c>
      <c r="HP14" s="1">
        <v>3550</v>
      </c>
      <c r="HQ14" s="1">
        <v>3924</v>
      </c>
      <c r="HR14">
        <v>0</v>
      </c>
      <c r="HS14">
        <v>53</v>
      </c>
      <c r="HT14">
        <v>53</v>
      </c>
      <c r="HU14">
        <v>637</v>
      </c>
      <c r="HV14" s="1">
        <v>20121</v>
      </c>
      <c r="HW14" s="1">
        <v>21790</v>
      </c>
      <c r="HX14" s="1">
        <v>15072</v>
      </c>
      <c r="HY14" s="1">
        <v>36862</v>
      </c>
      <c r="HZ14" s="1">
        <v>56983</v>
      </c>
      <c r="IA14" s="1">
        <v>8898</v>
      </c>
      <c r="IB14" s="1">
        <v>10920</v>
      </c>
      <c r="IC14" s="1">
        <v>187256</v>
      </c>
      <c r="ID14" s="1">
        <v>187256</v>
      </c>
      <c r="IE14" s="1">
        <v>224118</v>
      </c>
      <c r="IF14" s="1">
        <v>72023</v>
      </c>
      <c r="IG14">
        <v>-1</v>
      </c>
      <c r="IK14" s="3">
        <v>1.1299999999999999E-2</v>
      </c>
      <c r="IL14" s="3">
        <v>4.0000000000000002E-4</v>
      </c>
      <c r="IM14" s="3">
        <v>0.39389999999999997</v>
      </c>
      <c r="IN14" s="3">
        <v>0</v>
      </c>
      <c r="IO14" s="3">
        <v>0.35980000000000001</v>
      </c>
      <c r="IP14" s="3">
        <v>4.0000000000000002E-4</v>
      </c>
      <c r="IQ14" s="3">
        <v>0.56720000000000004</v>
      </c>
      <c r="IR14" s="3">
        <v>4.9299999999999997E-2</v>
      </c>
      <c r="IS14" s="3">
        <v>0.3846</v>
      </c>
      <c r="IT14" s="1">
        <v>46583</v>
      </c>
      <c r="IU14" s="1">
        <v>17427</v>
      </c>
      <c r="IV14" s="1">
        <v>64010</v>
      </c>
      <c r="IW14" s="3">
        <v>0.71879999999999999</v>
      </c>
      <c r="IX14" s="1">
        <v>133680</v>
      </c>
      <c r="IZ14">
        <v>153</v>
      </c>
      <c r="JA14">
        <v>126</v>
      </c>
      <c r="JB14">
        <v>754</v>
      </c>
      <c r="JC14">
        <v>78</v>
      </c>
      <c r="JD14">
        <v>33</v>
      </c>
      <c r="JE14">
        <v>95</v>
      </c>
      <c r="JF14">
        <v>231</v>
      </c>
      <c r="JG14">
        <v>159</v>
      </c>
      <c r="JH14">
        <v>849</v>
      </c>
      <c r="JI14" s="1">
        <v>1239</v>
      </c>
      <c r="JJ14" s="1">
        <v>1033</v>
      </c>
      <c r="JK14">
        <v>206</v>
      </c>
      <c r="JL14" s="1">
        <v>2647</v>
      </c>
      <c r="JM14" s="1">
        <v>1872</v>
      </c>
      <c r="JN14" s="1">
        <v>16877</v>
      </c>
      <c r="JO14" s="1">
        <v>1312</v>
      </c>
      <c r="JP14" s="1">
        <v>2433</v>
      </c>
      <c r="JQ14" s="1">
        <v>2921</v>
      </c>
      <c r="JR14" s="1">
        <v>3959</v>
      </c>
      <c r="JS14" s="1">
        <v>4305</v>
      </c>
      <c r="JT14" s="1">
        <v>19798</v>
      </c>
      <c r="JU14" s="1">
        <v>28062</v>
      </c>
      <c r="JV14" s="1">
        <v>21396</v>
      </c>
      <c r="JW14" s="1">
        <v>6666</v>
      </c>
      <c r="JX14">
        <v>22.65</v>
      </c>
      <c r="JY14">
        <v>17.14</v>
      </c>
      <c r="JZ14">
        <v>23.32</v>
      </c>
      <c r="KA14">
        <v>0.14000000000000001</v>
      </c>
      <c r="KB14">
        <v>0.71</v>
      </c>
      <c r="KC14">
        <v>25</v>
      </c>
      <c r="KD14">
        <v>438</v>
      </c>
      <c r="KE14">
        <v>252</v>
      </c>
      <c r="KF14">
        <v>431</v>
      </c>
      <c r="KG14">
        <v>190</v>
      </c>
      <c r="KH14" s="1">
        <v>4682</v>
      </c>
      <c r="KI14">
        <v>44</v>
      </c>
      <c r="KJ14" s="1">
        <v>1850</v>
      </c>
      <c r="KK14">
        <v>196</v>
      </c>
      <c r="KL14" s="1">
        <v>2710</v>
      </c>
      <c r="KM14" s="1">
        <v>23556</v>
      </c>
      <c r="KN14" s="1">
        <v>10504</v>
      </c>
      <c r="KO14" s="1">
        <v>1404</v>
      </c>
      <c r="KQ14">
        <v>94</v>
      </c>
      <c r="KR14">
        <v>651</v>
      </c>
      <c r="KS14">
        <v>161</v>
      </c>
      <c r="KT14">
        <v>322</v>
      </c>
      <c r="KU14">
        <v>35</v>
      </c>
      <c r="KV14">
        <v>37</v>
      </c>
      <c r="KW14" s="1">
        <v>32742</v>
      </c>
      <c r="KY14" s="1">
        <v>161622</v>
      </c>
      <c r="LC14" t="s">
        <v>835</v>
      </c>
      <c r="LD14" t="s">
        <v>709</v>
      </c>
      <c r="LE14" t="s">
        <v>833</v>
      </c>
      <c r="LF14" t="s">
        <v>834</v>
      </c>
      <c r="LG14">
        <v>28655</v>
      </c>
      <c r="LH14">
        <v>3535</v>
      </c>
      <c r="LI14" t="s">
        <v>833</v>
      </c>
      <c r="LJ14" t="s">
        <v>834</v>
      </c>
      <c r="LK14">
        <v>28655</v>
      </c>
      <c r="LL14">
        <v>3535</v>
      </c>
      <c r="LM14" t="s">
        <v>836</v>
      </c>
      <c r="LN14">
        <v>8287649260</v>
      </c>
      <c r="LO14">
        <v>8284331914</v>
      </c>
      <c r="LP14" s="1">
        <v>26200</v>
      </c>
      <c r="LQ14">
        <v>21.05</v>
      </c>
      <c r="LS14" s="1">
        <v>7332</v>
      </c>
      <c r="LT14">
        <v>156</v>
      </c>
      <c r="LW14">
        <v>2</v>
      </c>
      <c r="LX14" t="s">
        <v>842</v>
      </c>
      <c r="LY14">
        <v>0</v>
      </c>
      <c r="LZ14" t="s">
        <v>691</v>
      </c>
      <c r="MA14">
        <v>12.75</v>
      </c>
      <c r="MB14">
        <v>94.38</v>
      </c>
    </row>
    <row r="15" spans="1:363" x14ac:dyDescent="0.25">
      <c r="A15" t="s">
        <v>843</v>
      </c>
      <c r="B15">
        <v>0</v>
      </c>
      <c r="C15">
        <v>1375</v>
      </c>
      <c r="D15">
        <v>2017</v>
      </c>
      <c r="E15">
        <v>0</v>
      </c>
      <c r="F15" t="s">
        <v>843</v>
      </c>
      <c r="G15" t="s">
        <v>844</v>
      </c>
      <c r="H15" t="s">
        <v>668</v>
      </c>
      <c r="I15" t="s">
        <v>669</v>
      </c>
      <c r="J15" t="s">
        <v>670</v>
      </c>
      <c r="K15" t="s">
        <v>671</v>
      </c>
      <c r="L15" t="s">
        <v>672</v>
      </c>
      <c r="M15" t="s">
        <v>673</v>
      </c>
      <c r="N15" s="1">
        <v>195714</v>
      </c>
      <c r="O15" t="s">
        <v>674</v>
      </c>
      <c r="P15" s="1">
        <v>3242</v>
      </c>
      <c r="Q15">
        <v>509</v>
      </c>
      <c r="R15">
        <v>365</v>
      </c>
      <c r="S15">
        <v>107</v>
      </c>
      <c r="T15" s="1">
        <v>11883</v>
      </c>
      <c r="U15" s="1">
        <v>1833</v>
      </c>
      <c r="V15" s="1">
        <v>121885</v>
      </c>
      <c r="W15" s="1">
        <v>11961</v>
      </c>
      <c r="Z15" t="s">
        <v>845</v>
      </c>
      <c r="AA15" t="s">
        <v>846</v>
      </c>
      <c r="AB15">
        <v>28025</v>
      </c>
      <c r="AC15">
        <v>4793</v>
      </c>
      <c r="AD15" t="s">
        <v>845</v>
      </c>
      <c r="AE15" t="s">
        <v>846</v>
      </c>
      <c r="AF15">
        <v>28025</v>
      </c>
      <c r="AG15">
        <v>3</v>
      </c>
      <c r="AH15" t="s">
        <v>847</v>
      </c>
      <c r="AJ15" t="s">
        <v>35</v>
      </c>
      <c r="AK15" t="s">
        <v>848</v>
      </c>
      <c r="AL15" t="s">
        <v>849</v>
      </c>
      <c r="AM15" t="s">
        <v>850</v>
      </c>
      <c r="AN15" t="s">
        <v>851</v>
      </c>
      <c r="AO15" t="s">
        <v>852</v>
      </c>
      <c r="AP15" t="s">
        <v>849</v>
      </c>
      <c r="AQ15" t="s">
        <v>36</v>
      </c>
      <c r="AR15" t="s">
        <v>850</v>
      </c>
      <c r="AS15" t="s">
        <v>851</v>
      </c>
      <c r="AT15" t="s">
        <v>852</v>
      </c>
      <c r="AU15" t="s">
        <v>853</v>
      </c>
      <c r="BC15">
        <v>1</v>
      </c>
      <c r="BD15">
        <v>3</v>
      </c>
      <c r="BE15">
        <v>0</v>
      </c>
      <c r="BF15">
        <v>1</v>
      </c>
      <c r="BG15">
        <v>5</v>
      </c>
      <c r="BI15" s="1">
        <v>11354</v>
      </c>
      <c r="BJ15">
        <v>10</v>
      </c>
      <c r="BK15">
        <v>0</v>
      </c>
      <c r="BL15">
        <v>10</v>
      </c>
      <c r="BM15">
        <v>38</v>
      </c>
      <c r="BN15">
        <v>48</v>
      </c>
      <c r="BO15" s="3">
        <v>0.20830000000000001</v>
      </c>
      <c r="BP15" s="1">
        <v>6275</v>
      </c>
      <c r="BQ15" s="4">
        <v>82326</v>
      </c>
      <c r="BT15">
        <v>0</v>
      </c>
      <c r="BU15" s="4">
        <v>52478</v>
      </c>
      <c r="BV15" s="4">
        <v>81827</v>
      </c>
      <c r="BW15" s="4">
        <v>54028</v>
      </c>
      <c r="BY15" s="4">
        <v>43181</v>
      </c>
      <c r="BZ15" s="4">
        <v>67267</v>
      </c>
      <c r="CA15" s="4">
        <v>45042</v>
      </c>
      <c r="CC15" s="4">
        <v>43181</v>
      </c>
      <c r="CD15" s="4">
        <v>67267</v>
      </c>
      <c r="CE15" s="1">
        <v>46051</v>
      </c>
      <c r="CG15" s="4">
        <v>49962</v>
      </c>
      <c r="CH15" s="4">
        <v>77854</v>
      </c>
      <c r="CI15" s="4">
        <v>49962</v>
      </c>
      <c r="CK15" s="4">
        <v>43181</v>
      </c>
      <c r="CL15" s="4">
        <v>67267</v>
      </c>
      <c r="CM15" s="1">
        <v>48630</v>
      </c>
      <c r="CO15" s="4">
        <v>43181</v>
      </c>
      <c r="CP15" s="4">
        <v>67267</v>
      </c>
      <c r="CQ15" s="4">
        <v>46987</v>
      </c>
      <c r="CR15" s="4">
        <v>43181</v>
      </c>
      <c r="CS15" s="4">
        <v>67267</v>
      </c>
      <c r="CT15" s="4">
        <v>45042</v>
      </c>
      <c r="CV15" s="4">
        <v>43181</v>
      </c>
      <c r="CW15" s="4">
        <v>67267</v>
      </c>
      <c r="CX15" s="4">
        <v>46051</v>
      </c>
      <c r="CZ15" s="4">
        <v>49962</v>
      </c>
      <c r="DA15" s="4">
        <v>77854</v>
      </c>
      <c r="DB15" s="4">
        <v>49962</v>
      </c>
      <c r="DD15" s="4">
        <v>43181</v>
      </c>
      <c r="DE15" s="4">
        <v>67267</v>
      </c>
      <c r="DF15" s="4">
        <v>48630</v>
      </c>
      <c r="DH15" s="4">
        <v>43181</v>
      </c>
      <c r="DI15" s="4">
        <v>67267</v>
      </c>
      <c r="DJ15" s="4">
        <v>46987</v>
      </c>
      <c r="DK15" s="4">
        <v>35485</v>
      </c>
      <c r="DL15" s="4">
        <v>55349</v>
      </c>
      <c r="DM15" s="4">
        <v>37036</v>
      </c>
      <c r="DO15" s="4">
        <v>30680</v>
      </c>
      <c r="DP15" s="4">
        <v>47778</v>
      </c>
      <c r="DQ15" s="4">
        <v>24591</v>
      </c>
      <c r="DS15" s="4">
        <v>0</v>
      </c>
      <c r="DT15" s="4">
        <v>0</v>
      </c>
      <c r="DU15" s="4">
        <v>0</v>
      </c>
      <c r="DV15" s="4">
        <v>0</v>
      </c>
      <c r="DW15" s="4">
        <v>3114661</v>
      </c>
      <c r="DX15" s="4">
        <v>3114661</v>
      </c>
      <c r="DY15" s="4">
        <v>196686</v>
      </c>
      <c r="DZ15" s="4">
        <v>0</v>
      </c>
      <c r="EA15" s="4">
        <v>196686</v>
      </c>
      <c r="EB15" s="4">
        <v>26608</v>
      </c>
      <c r="EC15" s="4">
        <v>0</v>
      </c>
      <c r="ED15" s="4">
        <v>26608</v>
      </c>
      <c r="EE15" s="4">
        <v>0</v>
      </c>
      <c r="EF15" s="4">
        <v>3337955</v>
      </c>
      <c r="EG15" s="4">
        <v>1799229</v>
      </c>
      <c r="EH15" s="4">
        <v>683581</v>
      </c>
      <c r="EI15" s="4">
        <v>2482810</v>
      </c>
      <c r="EJ15" s="4">
        <v>287345</v>
      </c>
      <c r="EK15" s="4">
        <v>141980</v>
      </c>
      <c r="EL15" s="4">
        <v>23095</v>
      </c>
      <c r="EM15" s="4">
        <v>452420</v>
      </c>
      <c r="EN15" s="4">
        <v>392069</v>
      </c>
      <c r="EO15" s="4">
        <v>3327299</v>
      </c>
      <c r="EP15" s="4">
        <v>10656</v>
      </c>
      <c r="EQ15" s="3">
        <v>3.2000000000000002E-3</v>
      </c>
      <c r="ER15" s="4">
        <v>50000</v>
      </c>
      <c r="ES15" s="4">
        <v>0</v>
      </c>
      <c r="ET15" s="4">
        <v>0</v>
      </c>
      <c r="EU15" s="4">
        <v>0</v>
      </c>
      <c r="EV15" s="4">
        <v>50000</v>
      </c>
      <c r="EW15" s="4">
        <v>50000</v>
      </c>
      <c r="EX15" s="1">
        <v>31544</v>
      </c>
      <c r="EY15" s="1">
        <v>361686</v>
      </c>
      <c r="EZ15" s="1">
        <v>62598</v>
      </c>
      <c r="FA15" s="1">
        <v>11416</v>
      </c>
      <c r="FB15" s="1">
        <v>59175</v>
      </c>
      <c r="FC15" s="1">
        <v>49511</v>
      </c>
      <c r="FE15" s="1">
        <v>84833</v>
      </c>
      <c r="FF15" s="1">
        <v>112109</v>
      </c>
      <c r="FH15" s="1">
        <v>144008</v>
      </c>
      <c r="FI15" s="1">
        <v>267533</v>
      </c>
      <c r="FJ15" s="1">
        <v>2572</v>
      </c>
      <c r="FK15">
        <v>150</v>
      </c>
      <c r="FM15" s="1">
        <v>267533</v>
      </c>
      <c r="FN15" s="1">
        <v>7873</v>
      </c>
      <c r="FO15" s="1">
        <v>9114</v>
      </c>
      <c r="FP15" s="1">
        <v>1045</v>
      </c>
      <c r="FQ15">
        <v>8</v>
      </c>
      <c r="FR15">
        <v>88</v>
      </c>
      <c r="FS15">
        <v>96</v>
      </c>
      <c r="FT15" s="1">
        <v>44141</v>
      </c>
      <c r="FU15" s="1">
        <v>3505</v>
      </c>
      <c r="FV15">
        <v>0</v>
      </c>
      <c r="FW15">
        <v>0</v>
      </c>
      <c r="FX15" s="1">
        <v>8544</v>
      </c>
      <c r="FY15" s="1">
        <v>1573</v>
      </c>
      <c r="FZ15">
        <v>322</v>
      </c>
      <c r="GA15">
        <v>0</v>
      </c>
      <c r="GE15">
        <v>0</v>
      </c>
      <c r="GJ15" s="1">
        <v>4088</v>
      </c>
      <c r="GK15" s="1">
        <v>11052</v>
      </c>
      <c r="GL15">
        <v>0</v>
      </c>
      <c r="GM15">
        <v>78</v>
      </c>
      <c r="GN15" s="1">
        <v>56773</v>
      </c>
      <c r="GO15" s="1">
        <v>16130</v>
      </c>
      <c r="GP15">
        <v>322</v>
      </c>
      <c r="GQ15">
        <v>78</v>
      </c>
      <c r="GR15">
        <v>75</v>
      </c>
      <c r="GT15" s="1">
        <v>166369</v>
      </c>
      <c r="GU15" s="1">
        <v>32012</v>
      </c>
      <c r="GV15" s="1">
        <v>310021</v>
      </c>
      <c r="GW15" s="1">
        <v>64014</v>
      </c>
      <c r="GY15" s="1">
        <v>69102</v>
      </c>
      <c r="GZ15" s="1">
        <v>230383</v>
      </c>
      <c r="HB15" s="1">
        <v>379123</v>
      </c>
      <c r="HC15" s="1">
        <v>641518</v>
      </c>
      <c r="HD15" s="1">
        <v>2126</v>
      </c>
      <c r="HE15" s="1">
        <v>643644</v>
      </c>
      <c r="HF15" s="1">
        <v>25091</v>
      </c>
      <c r="HG15" s="1">
        <v>63265</v>
      </c>
      <c r="HH15">
        <v>0</v>
      </c>
      <c r="HI15">
        <v>0</v>
      </c>
      <c r="HJ15" s="1">
        <v>88356</v>
      </c>
      <c r="HK15" s="1">
        <v>732000</v>
      </c>
      <c r="HL15">
        <v>902</v>
      </c>
      <c r="HM15" s="1">
        <v>13699</v>
      </c>
      <c r="HN15" s="1">
        <v>14601</v>
      </c>
      <c r="HO15" s="1">
        <v>2833</v>
      </c>
      <c r="HP15" s="1">
        <v>20800</v>
      </c>
      <c r="HQ15" s="1">
        <v>23633</v>
      </c>
      <c r="HR15">
        <v>0</v>
      </c>
      <c r="HS15">
        <v>0</v>
      </c>
      <c r="HT15">
        <v>0</v>
      </c>
      <c r="HU15" s="1">
        <v>4400</v>
      </c>
      <c r="HV15" s="1">
        <v>42634</v>
      </c>
      <c r="HW15" s="1">
        <v>26368</v>
      </c>
      <c r="HX15" s="1">
        <v>193809</v>
      </c>
      <c r="HY15" s="1">
        <v>220177</v>
      </c>
      <c r="HZ15" s="1">
        <v>262811</v>
      </c>
      <c r="IA15" s="1">
        <v>48724</v>
      </c>
      <c r="IB15" s="1">
        <v>111989</v>
      </c>
      <c r="IC15" s="1">
        <v>774634</v>
      </c>
      <c r="ID15" s="1">
        <v>774634</v>
      </c>
      <c r="IE15" s="1">
        <v>994811</v>
      </c>
      <c r="IF15" s="1">
        <v>411135</v>
      </c>
      <c r="IG15">
        <v>951</v>
      </c>
      <c r="IJ15">
        <v>1</v>
      </c>
      <c r="IK15" s="3">
        <v>2.6100000000000002E-2</v>
      </c>
      <c r="IL15" s="3">
        <v>4.0000000000000002E-4</v>
      </c>
      <c r="IM15" s="3">
        <v>0.20269999999999999</v>
      </c>
      <c r="IN15" s="3">
        <v>0</v>
      </c>
      <c r="IO15" s="3">
        <v>0.157</v>
      </c>
      <c r="IP15" s="3">
        <v>2.9999999999999997E-4</v>
      </c>
      <c r="IQ15" s="3">
        <v>0.73970000000000002</v>
      </c>
      <c r="IR15" s="3">
        <v>6.6400000000000001E-2</v>
      </c>
      <c r="IS15" s="3">
        <v>0.53069999999999995</v>
      </c>
      <c r="IT15" s="1">
        <v>65837</v>
      </c>
      <c r="IU15" s="1">
        <v>16498</v>
      </c>
      <c r="IV15" s="1">
        <v>82335</v>
      </c>
      <c r="IW15" s="3">
        <v>0.42070000000000002</v>
      </c>
      <c r="IX15" s="1">
        <v>428290</v>
      </c>
      <c r="IZ15">
        <v>497</v>
      </c>
      <c r="JA15">
        <v>419</v>
      </c>
      <c r="JB15" s="1">
        <v>1843</v>
      </c>
      <c r="JC15">
        <v>182</v>
      </c>
      <c r="JD15">
        <v>22</v>
      </c>
      <c r="JE15">
        <v>117</v>
      </c>
      <c r="JF15">
        <v>679</v>
      </c>
      <c r="JG15">
        <v>441</v>
      </c>
      <c r="JH15" s="1">
        <v>1960</v>
      </c>
      <c r="JI15" s="1">
        <v>3080</v>
      </c>
      <c r="JJ15" s="1">
        <v>2759</v>
      </c>
      <c r="JK15">
        <v>321</v>
      </c>
      <c r="JL15" s="1">
        <v>4677</v>
      </c>
      <c r="JM15" s="1">
        <v>6890</v>
      </c>
      <c r="JN15" s="1">
        <v>48435</v>
      </c>
      <c r="JO15" s="1">
        <v>2957</v>
      </c>
      <c r="JP15">
        <v>635</v>
      </c>
      <c r="JQ15" s="1">
        <v>8299</v>
      </c>
      <c r="JR15" s="1">
        <v>7634</v>
      </c>
      <c r="JS15" s="1">
        <v>7525</v>
      </c>
      <c r="JT15" s="1">
        <v>56734</v>
      </c>
      <c r="JU15" s="1">
        <v>71893</v>
      </c>
      <c r="JV15" s="1">
        <v>60002</v>
      </c>
      <c r="JW15" s="1">
        <v>11891</v>
      </c>
      <c r="JX15">
        <v>23.34</v>
      </c>
      <c r="JY15">
        <v>11.24</v>
      </c>
      <c r="JZ15">
        <v>28.95</v>
      </c>
      <c r="KA15">
        <v>0.11</v>
      </c>
      <c r="KB15">
        <v>0.79</v>
      </c>
      <c r="KC15">
        <v>15</v>
      </c>
      <c r="KD15">
        <v>56</v>
      </c>
      <c r="KE15">
        <v>289</v>
      </c>
      <c r="KF15" s="1">
        <v>1950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 s="1">
        <v>82401</v>
      </c>
      <c r="KN15" s="1">
        <v>30043</v>
      </c>
      <c r="KO15" s="1">
        <v>4493</v>
      </c>
      <c r="KQ15">
        <v>445</v>
      </c>
      <c r="KR15" s="1">
        <v>15442</v>
      </c>
      <c r="KS15">
        <v>303</v>
      </c>
      <c r="KT15">
        <v>265</v>
      </c>
      <c r="KU15">
        <v>54</v>
      </c>
      <c r="KV15">
        <v>62</v>
      </c>
      <c r="KW15" s="1">
        <v>54970</v>
      </c>
      <c r="LC15" t="s">
        <v>847</v>
      </c>
      <c r="LD15" t="s">
        <v>709</v>
      </c>
      <c r="LE15" t="s">
        <v>845</v>
      </c>
      <c r="LF15" t="s">
        <v>846</v>
      </c>
      <c r="LG15">
        <v>28025</v>
      </c>
      <c r="LH15">
        <v>4793</v>
      </c>
      <c r="LI15" t="s">
        <v>845</v>
      </c>
      <c r="LJ15" t="s">
        <v>846</v>
      </c>
      <c r="LK15">
        <v>28025</v>
      </c>
      <c r="LL15">
        <v>4793</v>
      </c>
      <c r="LM15" t="s">
        <v>848</v>
      </c>
      <c r="LN15">
        <v>7049202050</v>
      </c>
      <c r="LO15">
        <v>7047843822</v>
      </c>
      <c r="LP15" s="1">
        <v>55060</v>
      </c>
      <c r="LQ15">
        <v>49</v>
      </c>
      <c r="LS15" s="1">
        <v>11354</v>
      </c>
      <c r="LT15">
        <v>208</v>
      </c>
      <c r="LW15">
        <v>2</v>
      </c>
      <c r="LX15" t="s">
        <v>854</v>
      </c>
      <c r="LY15">
        <v>0</v>
      </c>
      <c r="LZ15" t="s">
        <v>691</v>
      </c>
      <c r="MA15">
        <v>72.739999999999995</v>
      </c>
      <c r="MB15">
        <v>86.18</v>
      </c>
    </row>
    <row r="16" spans="1:363" x14ac:dyDescent="0.25">
      <c r="A16" t="s">
        <v>855</v>
      </c>
      <c r="B16">
        <v>0</v>
      </c>
      <c r="C16">
        <v>1375</v>
      </c>
      <c r="D16">
        <v>2017</v>
      </c>
      <c r="E16">
        <v>0</v>
      </c>
      <c r="F16" t="s">
        <v>855</v>
      </c>
      <c r="G16" t="s">
        <v>856</v>
      </c>
      <c r="H16" t="s">
        <v>668</v>
      </c>
      <c r="I16" t="s">
        <v>669</v>
      </c>
      <c r="J16" t="s">
        <v>670</v>
      </c>
      <c r="K16" t="s">
        <v>671</v>
      </c>
      <c r="L16" t="s">
        <v>672</v>
      </c>
      <c r="M16" t="s">
        <v>673</v>
      </c>
      <c r="N16" s="1">
        <v>82556</v>
      </c>
      <c r="O16" t="s">
        <v>806</v>
      </c>
      <c r="P16">
        <v>775</v>
      </c>
      <c r="Q16">
        <v>251</v>
      </c>
      <c r="R16">
        <v>71</v>
      </c>
      <c r="S16">
        <v>7</v>
      </c>
      <c r="T16" s="1">
        <v>2389</v>
      </c>
      <c r="U16">
        <v>78</v>
      </c>
      <c r="V16" s="1">
        <v>32582</v>
      </c>
      <c r="W16" s="1">
        <v>4383</v>
      </c>
      <c r="X16" s="1">
        <v>265800</v>
      </c>
      <c r="Y16" s="1">
        <v>115200</v>
      </c>
      <c r="Z16" t="s">
        <v>857</v>
      </c>
      <c r="AA16" t="s">
        <v>858</v>
      </c>
      <c r="AB16">
        <v>28645</v>
      </c>
      <c r="AC16">
        <v>4454</v>
      </c>
      <c r="AD16" t="s">
        <v>857</v>
      </c>
      <c r="AE16" t="s">
        <v>858</v>
      </c>
      <c r="AF16">
        <v>28645</v>
      </c>
      <c r="AG16">
        <v>1</v>
      </c>
      <c r="AH16" t="s">
        <v>859</v>
      </c>
      <c r="AJ16" t="s">
        <v>35</v>
      </c>
      <c r="AK16" t="s">
        <v>860</v>
      </c>
      <c r="AL16" t="s">
        <v>861</v>
      </c>
      <c r="AM16" t="s">
        <v>862</v>
      </c>
      <c r="AN16" t="s">
        <v>863</v>
      </c>
      <c r="AO16" t="s">
        <v>864</v>
      </c>
      <c r="AP16" t="s">
        <v>865</v>
      </c>
      <c r="AQ16" t="s">
        <v>36</v>
      </c>
      <c r="AR16" t="s">
        <v>862</v>
      </c>
      <c r="AS16" t="s">
        <v>863</v>
      </c>
      <c r="AT16" t="s">
        <v>864</v>
      </c>
      <c r="AU16" t="s">
        <v>866</v>
      </c>
      <c r="BC16">
        <v>1</v>
      </c>
      <c r="BD16">
        <v>2</v>
      </c>
      <c r="BE16">
        <v>0</v>
      </c>
      <c r="BF16">
        <v>0</v>
      </c>
      <c r="BG16">
        <v>3</v>
      </c>
      <c r="BI16" s="1">
        <v>7228</v>
      </c>
      <c r="BJ16">
        <v>4</v>
      </c>
      <c r="BK16">
        <v>1</v>
      </c>
      <c r="BL16">
        <v>5</v>
      </c>
      <c r="BM16">
        <v>18</v>
      </c>
      <c r="BN16">
        <v>23</v>
      </c>
      <c r="BO16" s="3">
        <v>0.1739</v>
      </c>
      <c r="BP16">
        <v>0</v>
      </c>
      <c r="BQ16" s="4">
        <v>60000</v>
      </c>
      <c r="BU16" s="4">
        <v>38041</v>
      </c>
      <c r="BV16" s="4">
        <v>57061</v>
      </c>
      <c r="BW16" s="4">
        <v>40000</v>
      </c>
      <c r="BY16" s="4">
        <v>38041</v>
      </c>
      <c r="BZ16" s="4">
        <v>57061</v>
      </c>
      <c r="CA16" s="4">
        <v>40000</v>
      </c>
      <c r="CC16" s="4">
        <v>38041</v>
      </c>
      <c r="CD16" s="4">
        <v>57061</v>
      </c>
      <c r="CE16" s="1">
        <v>40000</v>
      </c>
      <c r="CG16" s="4">
        <v>38041</v>
      </c>
      <c r="CH16" s="4">
        <v>57061</v>
      </c>
      <c r="CI16" s="4">
        <v>40000</v>
      </c>
      <c r="CR16" s="4">
        <v>38041</v>
      </c>
      <c r="CS16" s="4">
        <v>57061</v>
      </c>
      <c r="CT16" s="4">
        <v>40000</v>
      </c>
      <c r="CV16" s="4">
        <v>38041</v>
      </c>
      <c r="CW16" s="4">
        <v>57061</v>
      </c>
      <c r="CX16" s="4">
        <v>40000</v>
      </c>
      <c r="CZ16" s="4">
        <v>38041</v>
      </c>
      <c r="DA16" s="4">
        <v>57061</v>
      </c>
      <c r="DB16" s="4">
        <v>40000</v>
      </c>
      <c r="DK16" s="4">
        <v>29211</v>
      </c>
      <c r="DL16" s="4">
        <v>43817</v>
      </c>
      <c r="DM16" s="4">
        <v>32000</v>
      </c>
      <c r="DO16" s="4">
        <v>26750</v>
      </c>
      <c r="DP16" s="4">
        <v>40124</v>
      </c>
      <c r="DQ16" s="4">
        <v>30000</v>
      </c>
      <c r="DV16" s="4">
        <v>0</v>
      </c>
      <c r="DW16" s="4">
        <v>976852</v>
      </c>
      <c r="DX16" s="4">
        <v>976852</v>
      </c>
      <c r="DY16" s="4">
        <v>137437</v>
      </c>
      <c r="DZ16" s="4">
        <v>0</v>
      </c>
      <c r="EA16" s="4">
        <v>137437</v>
      </c>
      <c r="EB16" s="4">
        <v>1373</v>
      </c>
      <c r="EC16" s="4">
        <v>0</v>
      </c>
      <c r="ED16" s="4">
        <v>1373</v>
      </c>
      <c r="EE16" s="4">
        <v>32587</v>
      </c>
      <c r="EF16" s="4">
        <v>1148249</v>
      </c>
      <c r="EG16" s="4">
        <v>665624</v>
      </c>
      <c r="EH16" s="4">
        <v>222230</v>
      </c>
      <c r="EI16" s="4">
        <v>887854</v>
      </c>
      <c r="EJ16" s="4">
        <v>100335</v>
      </c>
      <c r="EK16" s="4">
        <v>15243</v>
      </c>
      <c r="EL16" s="4">
        <v>26663</v>
      </c>
      <c r="EM16" s="4">
        <v>142241</v>
      </c>
      <c r="EN16" s="4">
        <v>73948</v>
      </c>
      <c r="EO16" s="4">
        <v>1104043</v>
      </c>
      <c r="EP16" s="4">
        <v>44206</v>
      </c>
      <c r="EQ16" s="3">
        <v>3.85E-2</v>
      </c>
      <c r="ER16" s="4">
        <v>0</v>
      </c>
      <c r="ES16" s="4">
        <v>0</v>
      </c>
      <c r="ET16" s="4">
        <v>0</v>
      </c>
      <c r="EU16" s="4">
        <v>0</v>
      </c>
      <c r="EV16" s="4">
        <v>0</v>
      </c>
      <c r="EW16" s="4">
        <v>0</v>
      </c>
      <c r="EX16" s="1">
        <v>35597</v>
      </c>
      <c r="EY16" s="1">
        <v>240209</v>
      </c>
      <c r="EZ16" s="1">
        <v>38529</v>
      </c>
      <c r="FA16" s="1">
        <v>7255</v>
      </c>
      <c r="FB16" s="1">
        <v>22949</v>
      </c>
      <c r="FC16" s="1">
        <v>33992</v>
      </c>
      <c r="FD16" s="1">
        <v>1101</v>
      </c>
      <c r="FE16" s="1">
        <v>9158</v>
      </c>
      <c r="FF16" s="1">
        <v>72521</v>
      </c>
      <c r="FG16" s="1">
        <v>8356</v>
      </c>
      <c r="FH16" s="1">
        <v>32107</v>
      </c>
      <c r="FI16" s="1">
        <v>112984</v>
      </c>
      <c r="FJ16">
        <v>200</v>
      </c>
      <c r="FK16">
        <v>131</v>
      </c>
      <c r="FM16" s="1">
        <v>112984</v>
      </c>
      <c r="FN16" s="1">
        <v>6901</v>
      </c>
      <c r="FO16" s="1">
        <v>11733</v>
      </c>
      <c r="FP16">
        <v>0</v>
      </c>
      <c r="FQ16">
        <v>4</v>
      </c>
      <c r="FR16">
        <v>88</v>
      </c>
      <c r="FS16">
        <v>92</v>
      </c>
      <c r="FT16" s="1">
        <v>44141</v>
      </c>
      <c r="FU16" s="1">
        <v>3505</v>
      </c>
      <c r="FV16">
        <v>0</v>
      </c>
      <c r="FW16">
        <v>0</v>
      </c>
      <c r="FX16" s="1">
        <v>8544</v>
      </c>
      <c r="FY16" s="1">
        <v>1573</v>
      </c>
      <c r="FZ16">
        <v>322</v>
      </c>
      <c r="GA16">
        <v>0</v>
      </c>
      <c r="GE16">
        <v>0</v>
      </c>
      <c r="GF16" s="1">
        <v>36593</v>
      </c>
      <c r="GG16" s="1">
        <v>13194</v>
      </c>
      <c r="GH16">
        <v>264</v>
      </c>
      <c r="GI16">
        <v>12</v>
      </c>
      <c r="GJ16">
        <v>0</v>
      </c>
      <c r="GK16">
        <v>0</v>
      </c>
      <c r="GL16">
        <v>0</v>
      </c>
      <c r="GM16">
        <v>20</v>
      </c>
      <c r="GN16" s="1">
        <v>89278</v>
      </c>
      <c r="GO16" s="1">
        <v>18272</v>
      </c>
      <c r="GP16">
        <v>586</v>
      </c>
      <c r="GQ16">
        <v>32</v>
      </c>
      <c r="GR16">
        <v>6</v>
      </c>
      <c r="GT16" s="1">
        <v>69390</v>
      </c>
      <c r="GU16" s="1">
        <v>12453</v>
      </c>
      <c r="GV16" s="1">
        <v>54418</v>
      </c>
      <c r="GW16" s="1">
        <v>24702</v>
      </c>
      <c r="GX16">
        <v>472</v>
      </c>
      <c r="GY16" s="1">
        <v>10809</v>
      </c>
      <c r="GZ16" s="1">
        <v>94092</v>
      </c>
      <c r="HA16" s="1">
        <v>12925</v>
      </c>
      <c r="HB16" s="1">
        <v>65227</v>
      </c>
      <c r="HC16" s="1">
        <v>172244</v>
      </c>
      <c r="HD16" s="1">
        <v>3842</v>
      </c>
      <c r="HE16" s="1">
        <v>176323</v>
      </c>
      <c r="HF16" s="1">
        <v>8017</v>
      </c>
      <c r="HG16" s="1">
        <v>52959</v>
      </c>
      <c r="HH16">
        <v>237</v>
      </c>
      <c r="HI16">
        <v>2</v>
      </c>
      <c r="HJ16" s="1">
        <v>60978</v>
      </c>
      <c r="HK16" s="1">
        <v>237301</v>
      </c>
      <c r="HL16">
        <v>137</v>
      </c>
      <c r="HM16" s="1">
        <v>14997</v>
      </c>
      <c r="HN16" s="1">
        <v>15134</v>
      </c>
      <c r="HO16">
        <v>24</v>
      </c>
      <c r="HP16" s="1">
        <v>9836</v>
      </c>
      <c r="HQ16" s="1">
        <v>9860</v>
      </c>
      <c r="HR16">
        <v>0</v>
      </c>
      <c r="HS16">
        <v>135</v>
      </c>
      <c r="HT16">
        <v>135</v>
      </c>
      <c r="HU16">
        <v>582</v>
      </c>
      <c r="HV16" s="1">
        <v>25711</v>
      </c>
      <c r="HW16" s="1">
        <v>14775</v>
      </c>
      <c r="HX16">
        <v>0</v>
      </c>
      <c r="HY16" s="1">
        <v>14775</v>
      </c>
      <c r="HZ16" s="1">
        <v>40486</v>
      </c>
      <c r="IA16" s="1">
        <v>17877</v>
      </c>
      <c r="IB16" s="1">
        <v>70971</v>
      </c>
      <c r="IC16" s="1">
        <v>263012</v>
      </c>
      <c r="ID16" s="1">
        <v>263012</v>
      </c>
      <c r="IE16" s="1">
        <v>277787</v>
      </c>
      <c r="IF16" s="1">
        <v>76436</v>
      </c>
      <c r="IG16">
        <v>0</v>
      </c>
      <c r="IK16" s="3">
        <v>5.1299999999999998E-2</v>
      </c>
      <c r="IL16" s="3">
        <v>5.0000000000000001E-4</v>
      </c>
      <c r="IM16" s="3">
        <v>0.45029999999999998</v>
      </c>
      <c r="IN16" s="3">
        <v>0</v>
      </c>
      <c r="IO16" s="3">
        <v>0.37169999999999997</v>
      </c>
      <c r="IP16" s="3">
        <v>4.0000000000000002E-4</v>
      </c>
      <c r="IQ16" s="3">
        <v>0.47039999999999998</v>
      </c>
      <c r="IR16" s="3">
        <v>0.1048</v>
      </c>
      <c r="IS16" s="3">
        <v>0.29060000000000002</v>
      </c>
      <c r="IT16" s="1">
        <v>24638</v>
      </c>
      <c r="IU16" s="1">
        <v>6269</v>
      </c>
      <c r="IV16" s="1">
        <v>30907</v>
      </c>
      <c r="IW16" s="3">
        <v>0.37440000000000001</v>
      </c>
      <c r="IX16" s="1">
        <v>307405</v>
      </c>
      <c r="IZ16">
        <v>158</v>
      </c>
      <c r="JA16">
        <v>30</v>
      </c>
      <c r="JB16">
        <v>338</v>
      </c>
      <c r="JC16">
        <v>21</v>
      </c>
      <c r="JD16">
        <v>0</v>
      </c>
      <c r="JE16">
        <v>7</v>
      </c>
      <c r="JF16">
        <v>179</v>
      </c>
      <c r="JG16">
        <v>30</v>
      </c>
      <c r="JH16">
        <v>345</v>
      </c>
      <c r="JI16">
        <v>554</v>
      </c>
      <c r="JJ16">
        <v>526</v>
      </c>
      <c r="JK16">
        <v>28</v>
      </c>
      <c r="JL16">
        <v>906</v>
      </c>
      <c r="JM16">
        <v>242</v>
      </c>
      <c r="JN16" s="1">
        <v>9468</v>
      </c>
      <c r="JO16">
        <v>301</v>
      </c>
      <c r="JP16">
        <v>0</v>
      </c>
      <c r="JQ16">
        <v>522</v>
      </c>
      <c r="JR16" s="1">
        <v>1207</v>
      </c>
      <c r="JS16">
        <v>242</v>
      </c>
      <c r="JT16" s="1">
        <v>9990</v>
      </c>
      <c r="JU16" s="1">
        <v>11439</v>
      </c>
      <c r="JV16" s="1">
        <v>10616</v>
      </c>
      <c r="JW16">
        <v>823</v>
      </c>
      <c r="JX16">
        <v>20.65</v>
      </c>
      <c r="JY16">
        <v>6.74</v>
      </c>
      <c r="JZ16">
        <v>28.96</v>
      </c>
      <c r="KA16">
        <v>0.11</v>
      </c>
      <c r="KB16">
        <v>0.87</v>
      </c>
      <c r="KC16">
        <v>3</v>
      </c>
      <c r="KD16">
        <v>17</v>
      </c>
      <c r="KE16">
        <v>56</v>
      </c>
      <c r="KF16">
        <v>176</v>
      </c>
      <c r="KG16">
        <v>240</v>
      </c>
      <c r="KH16" s="1">
        <v>5100</v>
      </c>
      <c r="KI16">
        <v>0</v>
      </c>
      <c r="KJ16">
        <v>0</v>
      </c>
      <c r="KK16">
        <v>0</v>
      </c>
      <c r="KL16">
        <v>0</v>
      </c>
      <c r="KM16" s="1">
        <v>59956</v>
      </c>
      <c r="KN16" s="1">
        <v>15444</v>
      </c>
      <c r="KO16">
        <v>312</v>
      </c>
      <c r="KQ16">
        <v>871</v>
      </c>
      <c r="KR16" s="1">
        <v>14966</v>
      </c>
      <c r="KS16" s="1">
        <v>11637</v>
      </c>
      <c r="KT16" s="1">
        <v>6734</v>
      </c>
      <c r="KU16">
        <v>33</v>
      </c>
      <c r="KV16">
        <v>43</v>
      </c>
      <c r="KW16" s="1">
        <v>41243</v>
      </c>
      <c r="LC16" t="s">
        <v>859</v>
      </c>
      <c r="LD16" t="s">
        <v>709</v>
      </c>
      <c r="LE16" t="s">
        <v>857</v>
      </c>
      <c r="LF16" t="s">
        <v>858</v>
      </c>
      <c r="LG16">
        <v>28645</v>
      </c>
      <c r="LH16">
        <v>4454</v>
      </c>
      <c r="LI16" t="s">
        <v>857</v>
      </c>
      <c r="LJ16" t="s">
        <v>858</v>
      </c>
      <c r="LK16">
        <v>28645</v>
      </c>
      <c r="LL16">
        <v>4454</v>
      </c>
      <c r="LM16" t="s">
        <v>860</v>
      </c>
      <c r="LN16">
        <v>8287571270</v>
      </c>
      <c r="LO16">
        <v>8287571413</v>
      </c>
      <c r="LP16" s="1">
        <v>58314</v>
      </c>
      <c r="LQ16">
        <v>19</v>
      </c>
      <c r="LS16" s="1">
        <v>7228</v>
      </c>
      <c r="LT16">
        <v>156</v>
      </c>
      <c r="LW16">
        <v>2</v>
      </c>
      <c r="LX16" t="s">
        <v>867</v>
      </c>
      <c r="LY16">
        <v>0</v>
      </c>
      <c r="LZ16" t="s">
        <v>691</v>
      </c>
      <c r="MA16">
        <v>20</v>
      </c>
      <c r="MB16">
        <v>60</v>
      </c>
    </row>
    <row r="17" spans="1:340" x14ac:dyDescent="0.25">
      <c r="A17" t="s">
        <v>868</v>
      </c>
      <c r="B17">
        <v>0</v>
      </c>
      <c r="C17">
        <v>1375</v>
      </c>
      <c r="D17">
        <v>2017</v>
      </c>
      <c r="E17">
        <v>0</v>
      </c>
      <c r="F17" t="s">
        <v>868</v>
      </c>
      <c r="G17" t="s">
        <v>869</v>
      </c>
      <c r="H17" t="s">
        <v>668</v>
      </c>
      <c r="I17" t="s">
        <v>669</v>
      </c>
      <c r="J17" t="s">
        <v>870</v>
      </c>
      <c r="K17" t="s">
        <v>671</v>
      </c>
      <c r="L17" t="s">
        <v>672</v>
      </c>
      <c r="M17" t="s">
        <v>673</v>
      </c>
      <c r="N17" s="1">
        <v>23606</v>
      </c>
      <c r="O17" t="s">
        <v>674</v>
      </c>
      <c r="P17">
        <v>367</v>
      </c>
      <c r="Q17">
        <v>17</v>
      </c>
      <c r="R17">
        <v>15</v>
      </c>
      <c r="S17">
        <v>1</v>
      </c>
      <c r="T17">
        <v>842</v>
      </c>
      <c r="U17">
        <v>17</v>
      </c>
      <c r="V17" s="1">
        <v>4093</v>
      </c>
      <c r="W17">
        <v>677</v>
      </c>
      <c r="X17" s="1">
        <v>86988</v>
      </c>
      <c r="Y17" s="1">
        <v>2945</v>
      </c>
      <c r="Z17" t="s">
        <v>871</v>
      </c>
      <c r="AA17" t="s">
        <v>872</v>
      </c>
      <c r="AB17">
        <v>27379</v>
      </c>
      <c r="AD17" t="s">
        <v>871</v>
      </c>
      <c r="AE17" t="s">
        <v>872</v>
      </c>
      <c r="AF17">
        <v>27379</v>
      </c>
      <c r="AG17">
        <v>1</v>
      </c>
      <c r="AH17" t="s">
        <v>873</v>
      </c>
      <c r="AJ17" t="s">
        <v>35</v>
      </c>
      <c r="AK17" t="s">
        <v>874</v>
      </c>
      <c r="AL17" t="s">
        <v>875</v>
      </c>
      <c r="AM17" t="s">
        <v>876</v>
      </c>
      <c r="AN17" t="s">
        <v>877</v>
      </c>
      <c r="AO17" t="s">
        <v>878</v>
      </c>
      <c r="AP17" t="s">
        <v>875</v>
      </c>
      <c r="AQ17" t="s">
        <v>36</v>
      </c>
      <c r="AR17" t="s">
        <v>876</v>
      </c>
      <c r="AS17" t="s">
        <v>877</v>
      </c>
      <c r="AT17" t="s">
        <v>878</v>
      </c>
      <c r="AU17" t="s">
        <v>879</v>
      </c>
      <c r="BC17">
        <v>1</v>
      </c>
      <c r="BD17">
        <v>0</v>
      </c>
      <c r="BE17">
        <v>0</v>
      </c>
      <c r="BF17">
        <v>1</v>
      </c>
      <c r="BG17">
        <v>2</v>
      </c>
      <c r="BI17" s="1">
        <v>2387</v>
      </c>
      <c r="BJ17">
        <v>1</v>
      </c>
      <c r="BK17">
        <v>0</v>
      </c>
      <c r="BL17">
        <v>1</v>
      </c>
      <c r="BM17">
        <v>4.92</v>
      </c>
      <c r="BN17">
        <v>5.92</v>
      </c>
      <c r="BO17" s="3">
        <v>0.16889999999999999</v>
      </c>
      <c r="BP17">
        <v>429</v>
      </c>
      <c r="BQ17" s="4">
        <v>57657</v>
      </c>
      <c r="DK17" s="4">
        <v>27874</v>
      </c>
      <c r="DO17" s="4">
        <v>24079</v>
      </c>
      <c r="DV17" s="4">
        <v>0</v>
      </c>
      <c r="DW17" s="4">
        <v>180679</v>
      </c>
      <c r="DX17" s="4">
        <v>180679</v>
      </c>
      <c r="DY17" s="4">
        <v>84941</v>
      </c>
      <c r="DZ17" s="4">
        <v>0</v>
      </c>
      <c r="EA17" s="4">
        <v>84941</v>
      </c>
      <c r="EB17" s="4">
        <v>35186</v>
      </c>
      <c r="EC17" s="4">
        <v>0</v>
      </c>
      <c r="ED17" s="4">
        <v>35186</v>
      </c>
      <c r="EE17" s="4">
        <v>15263</v>
      </c>
      <c r="EF17" s="4">
        <v>316069</v>
      </c>
      <c r="EG17" s="4">
        <v>163021</v>
      </c>
      <c r="EH17" s="4">
        <v>48488</v>
      </c>
      <c r="EI17" s="4">
        <v>211509</v>
      </c>
      <c r="EJ17" s="4">
        <v>21949</v>
      </c>
      <c r="EK17" s="4">
        <v>3100</v>
      </c>
      <c r="EL17" s="4">
        <v>2762</v>
      </c>
      <c r="EM17" s="4">
        <v>27811</v>
      </c>
      <c r="EN17" s="4">
        <v>74475</v>
      </c>
      <c r="EO17" s="4">
        <v>313795</v>
      </c>
      <c r="EP17" s="4">
        <v>2274</v>
      </c>
      <c r="EQ17" s="3">
        <v>7.1999999999999998E-3</v>
      </c>
      <c r="ER17" s="4">
        <v>0</v>
      </c>
      <c r="ES17" s="4">
        <v>0</v>
      </c>
      <c r="ET17" s="4">
        <v>0</v>
      </c>
      <c r="EU17" s="4">
        <v>0</v>
      </c>
      <c r="EV17" s="4">
        <v>0</v>
      </c>
      <c r="EW17" s="4">
        <v>0</v>
      </c>
      <c r="EX17" s="1">
        <v>8293</v>
      </c>
      <c r="EY17" s="1">
        <v>127519</v>
      </c>
      <c r="EZ17" s="1">
        <v>13669</v>
      </c>
      <c r="FA17" s="1">
        <v>1442</v>
      </c>
      <c r="FB17" s="1">
        <v>9776</v>
      </c>
      <c r="FC17" s="1">
        <v>7766</v>
      </c>
      <c r="FD17">
        <v>461</v>
      </c>
      <c r="FE17" s="1">
        <v>4544</v>
      </c>
      <c r="FF17" s="1">
        <v>21435</v>
      </c>
      <c r="FG17" s="1">
        <v>1903</v>
      </c>
      <c r="FH17" s="1">
        <v>14320</v>
      </c>
      <c r="FI17" s="1">
        <v>37658</v>
      </c>
      <c r="FJ17">
        <v>150</v>
      </c>
      <c r="FK17">
        <v>31</v>
      </c>
      <c r="FM17" s="1">
        <v>37658</v>
      </c>
      <c r="FN17">
        <v>863</v>
      </c>
      <c r="FO17" s="1">
        <v>2180</v>
      </c>
      <c r="FP17">
        <v>5</v>
      </c>
      <c r="FQ17">
        <v>2</v>
      </c>
      <c r="FR17">
        <v>88</v>
      </c>
      <c r="FS17">
        <v>90</v>
      </c>
      <c r="FT17" s="1">
        <v>44141</v>
      </c>
      <c r="FU17" s="1">
        <v>3505</v>
      </c>
      <c r="FV17">
        <v>0</v>
      </c>
      <c r="FW17">
        <v>0</v>
      </c>
      <c r="FX17" s="1">
        <v>8544</v>
      </c>
      <c r="FY17" s="1">
        <v>1573</v>
      </c>
      <c r="FZ17">
        <v>322</v>
      </c>
      <c r="GA17">
        <v>0</v>
      </c>
      <c r="GB17" s="1">
        <v>26436</v>
      </c>
      <c r="GC17" s="1">
        <v>1747</v>
      </c>
      <c r="GD17">
        <v>278</v>
      </c>
      <c r="GE17">
        <v>0</v>
      </c>
      <c r="GJ17">
        <v>-1</v>
      </c>
      <c r="GK17">
        <v>-1</v>
      </c>
      <c r="GL17">
        <v>-1</v>
      </c>
      <c r="GM17">
        <v>-1</v>
      </c>
      <c r="GN17" s="1">
        <v>79120</v>
      </c>
      <c r="GO17" s="1">
        <v>6824</v>
      </c>
      <c r="GP17">
        <v>599</v>
      </c>
      <c r="GQ17">
        <v>-1</v>
      </c>
      <c r="GR17">
        <v>29</v>
      </c>
      <c r="GT17" s="1">
        <v>10423</v>
      </c>
      <c r="GU17" s="1">
        <v>2210</v>
      </c>
      <c r="GV17" s="1">
        <v>12320</v>
      </c>
      <c r="GW17" s="1">
        <v>3933</v>
      </c>
      <c r="GX17">
        <v>642</v>
      </c>
      <c r="GY17" s="1">
        <v>3271</v>
      </c>
      <c r="GZ17" s="1">
        <v>14356</v>
      </c>
      <c r="HA17" s="1">
        <v>2852</v>
      </c>
      <c r="HB17" s="1">
        <v>15591</v>
      </c>
      <c r="HC17" s="1">
        <v>32799</v>
      </c>
      <c r="HD17">
        <v>575</v>
      </c>
      <c r="HE17" s="1">
        <v>33461</v>
      </c>
      <c r="HF17">
        <v>798</v>
      </c>
      <c r="HG17" s="1">
        <v>5845</v>
      </c>
      <c r="HH17">
        <v>87</v>
      </c>
      <c r="HI17">
        <v>5</v>
      </c>
      <c r="HJ17" s="1">
        <v>6648</v>
      </c>
      <c r="HK17" s="1">
        <v>40109</v>
      </c>
      <c r="HL17">
        <v>1</v>
      </c>
      <c r="HM17" s="1">
        <v>1661</v>
      </c>
      <c r="HN17" s="1">
        <v>1662</v>
      </c>
      <c r="HO17">
        <v>0</v>
      </c>
      <c r="HP17">
        <v>271</v>
      </c>
      <c r="HQ17">
        <v>271</v>
      </c>
      <c r="HR17">
        <v>0</v>
      </c>
      <c r="HS17">
        <v>0</v>
      </c>
      <c r="HT17">
        <v>0</v>
      </c>
      <c r="HU17">
        <v>21</v>
      </c>
      <c r="HV17" s="1">
        <v>1954</v>
      </c>
      <c r="HW17">
        <v>67</v>
      </c>
      <c r="HX17">
        <v>-1</v>
      </c>
      <c r="HY17">
        <v>66</v>
      </c>
      <c r="HZ17" s="1">
        <v>2020</v>
      </c>
      <c r="IA17" s="1">
        <v>1069</v>
      </c>
      <c r="IB17" s="1">
        <v>6914</v>
      </c>
      <c r="IC17" s="1">
        <v>42063</v>
      </c>
      <c r="ID17" s="1">
        <v>42063</v>
      </c>
      <c r="IE17" s="1">
        <v>42129</v>
      </c>
      <c r="IF17" s="1">
        <v>20115</v>
      </c>
      <c r="IG17" s="1">
        <v>1421</v>
      </c>
      <c r="IJ17">
        <v>2</v>
      </c>
      <c r="IK17" s="3">
        <v>2.18E-2</v>
      </c>
      <c r="IL17" s="3">
        <v>2.0000000000000001E-4</v>
      </c>
      <c r="IM17" s="3">
        <v>0.67869999999999997</v>
      </c>
      <c r="IN17" s="3">
        <v>0</v>
      </c>
      <c r="IO17" s="3">
        <v>0.62050000000000005</v>
      </c>
      <c r="IP17" s="3">
        <v>6.9999999999999999E-4</v>
      </c>
      <c r="IQ17" s="3">
        <v>0.29530000000000001</v>
      </c>
      <c r="IR17" s="3">
        <v>6.0299999999999999E-2</v>
      </c>
      <c r="IS17" s="3">
        <v>0.47820000000000001</v>
      </c>
      <c r="IT17" s="1">
        <v>5658</v>
      </c>
      <c r="IU17" s="1">
        <v>1967</v>
      </c>
      <c r="IV17" s="1">
        <v>7625</v>
      </c>
      <c r="IW17" s="3">
        <v>0.32300000000000001</v>
      </c>
      <c r="IX17" s="1">
        <v>78611</v>
      </c>
      <c r="IZ17">
        <v>51</v>
      </c>
      <c r="JA17">
        <v>44</v>
      </c>
      <c r="JB17">
        <v>116</v>
      </c>
      <c r="JC17">
        <v>77</v>
      </c>
      <c r="JD17">
        <v>3</v>
      </c>
      <c r="JE17">
        <v>7</v>
      </c>
      <c r="JF17">
        <v>128</v>
      </c>
      <c r="JG17">
        <v>47</v>
      </c>
      <c r="JH17">
        <v>123</v>
      </c>
      <c r="JI17">
        <v>298</v>
      </c>
      <c r="JJ17">
        <v>211</v>
      </c>
      <c r="JK17">
        <v>87</v>
      </c>
      <c r="JL17">
        <v>705</v>
      </c>
      <c r="JM17">
        <v>390</v>
      </c>
      <c r="JN17" s="1">
        <v>3068</v>
      </c>
      <c r="JO17">
        <v>557</v>
      </c>
      <c r="JP17">
        <v>21</v>
      </c>
      <c r="JQ17">
        <v>147</v>
      </c>
      <c r="JR17" s="1">
        <v>1262</v>
      </c>
      <c r="JS17">
        <v>411</v>
      </c>
      <c r="JT17" s="1">
        <v>3215</v>
      </c>
      <c r="JU17" s="1">
        <v>4888</v>
      </c>
      <c r="JV17" s="1">
        <v>4163</v>
      </c>
      <c r="JW17">
        <v>725</v>
      </c>
      <c r="JX17">
        <v>16.399999999999999</v>
      </c>
      <c r="JY17">
        <v>9.86</v>
      </c>
      <c r="JZ17">
        <v>26.14</v>
      </c>
      <c r="KA17">
        <v>0.26</v>
      </c>
      <c r="KB17">
        <v>0.66</v>
      </c>
      <c r="KC17">
        <v>7</v>
      </c>
      <c r="KD17">
        <v>53</v>
      </c>
      <c r="KE17">
        <v>14</v>
      </c>
      <c r="KF17">
        <v>106</v>
      </c>
      <c r="KG17">
        <v>37</v>
      </c>
      <c r="KH17">
        <v>144</v>
      </c>
      <c r="KI17">
        <v>10</v>
      </c>
      <c r="KJ17">
        <v>67</v>
      </c>
      <c r="KK17">
        <v>4</v>
      </c>
      <c r="KL17">
        <v>58</v>
      </c>
      <c r="KM17" s="1">
        <v>12633</v>
      </c>
      <c r="KN17" s="1">
        <v>5540</v>
      </c>
      <c r="KO17">
        <v>978</v>
      </c>
      <c r="KQ17">
        <v>103</v>
      </c>
      <c r="KR17">
        <v>690</v>
      </c>
      <c r="KS17" s="1">
        <v>3010</v>
      </c>
      <c r="KT17" s="1">
        <v>1220</v>
      </c>
      <c r="KU17">
        <v>9</v>
      </c>
      <c r="KV17">
        <v>31</v>
      </c>
      <c r="KW17" s="1">
        <v>10444</v>
      </c>
      <c r="KZ17" s="1">
        <v>1223</v>
      </c>
      <c r="LC17" t="s">
        <v>880</v>
      </c>
      <c r="LD17" t="s">
        <v>709</v>
      </c>
      <c r="LE17" t="s">
        <v>871</v>
      </c>
      <c r="LF17" t="s">
        <v>872</v>
      </c>
      <c r="LG17">
        <v>27379</v>
      </c>
      <c r="LI17" t="s">
        <v>871</v>
      </c>
      <c r="LJ17" t="s">
        <v>872</v>
      </c>
      <c r="LK17">
        <v>27379</v>
      </c>
      <c r="LM17" t="s">
        <v>874</v>
      </c>
      <c r="LN17">
        <v>3366946241</v>
      </c>
      <c r="LO17">
        <v>3366949846</v>
      </c>
      <c r="LP17" s="1">
        <v>7584</v>
      </c>
      <c r="LQ17">
        <v>6.02</v>
      </c>
      <c r="LS17" s="1">
        <v>2387</v>
      </c>
      <c r="LT17">
        <v>52</v>
      </c>
      <c r="LW17">
        <v>1</v>
      </c>
      <c r="LX17" t="s">
        <v>869</v>
      </c>
      <c r="LY17">
        <v>0</v>
      </c>
      <c r="LZ17" t="s">
        <v>691</v>
      </c>
      <c r="MA17">
        <v>1.04</v>
      </c>
      <c r="MB17">
        <v>11.72</v>
      </c>
    </row>
    <row r="18" spans="1:340" x14ac:dyDescent="0.25">
      <c r="A18" t="s">
        <v>881</v>
      </c>
      <c r="B18">
        <v>0</v>
      </c>
      <c r="C18">
        <v>1375</v>
      </c>
      <c r="D18">
        <v>2017</v>
      </c>
      <c r="E18">
        <v>0</v>
      </c>
      <c r="F18" t="s">
        <v>881</v>
      </c>
      <c r="G18" t="s">
        <v>882</v>
      </c>
      <c r="H18" t="s">
        <v>668</v>
      </c>
      <c r="I18" t="s">
        <v>669</v>
      </c>
      <c r="J18" t="s">
        <v>670</v>
      </c>
      <c r="K18" t="s">
        <v>671</v>
      </c>
      <c r="L18" t="s">
        <v>791</v>
      </c>
      <c r="M18" t="s">
        <v>673</v>
      </c>
      <c r="N18" s="1">
        <v>115564</v>
      </c>
      <c r="O18" t="s">
        <v>674</v>
      </c>
      <c r="P18" s="1">
        <v>1453</v>
      </c>
      <c r="Q18">
        <v>268</v>
      </c>
      <c r="R18">
        <v>322</v>
      </c>
      <c r="S18">
        <v>27</v>
      </c>
      <c r="T18" s="1">
        <v>8379</v>
      </c>
      <c r="U18">
        <v>203</v>
      </c>
      <c r="V18" s="1">
        <v>38467</v>
      </c>
      <c r="W18" s="1">
        <v>5663</v>
      </c>
      <c r="X18" s="1">
        <v>267052</v>
      </c>
      <c r="Y18" s="1">
        <v>58053</v>
      </c>
      <c r="Z18" t="s">
        <v>883</v>
      </c>
      <c r="AA18" t="s">
        <v>884</v>
      </c>
      <c r="AB18">
        <v>28658</v>
      </c>
      <c r="AC18">
        <v>3397</v>
      </c>
      <c r="AD18" t="s">
        <v>883</v>
      </c>
      <c r="AE18" t="s">
        <v>884</v>
      </c>
      <c r="AF18">
        <v>28658</v>
      </c>
      <c r="AG18">
        <v>2</v>
      </c>
      <c r="AH18" t="s">
        <v>885</v>
      </c>
      <c r="AJ18" t="s">
        <v>35</v>
      </c>
      <c r="AK18" t="s">
        <v>886</v>
      </c>
      <c r="AL18" t="s">
        <v>887</v>
      </c>
      <c r="AM18" t="s">
        <v>888</v>
      </c>
      <c r="AN18" t="s">
        <v>889</v>
      </c>
      <c r="AO18" t="s">
        <v>890</v>
      </c>
      <c r="AP18" t="s">
        <v>891</v>
      </c>
      <c r="AQ18" t="s">
        <v>892</v>
      </c>
      <c r="AR18" t="s">
        <v>893</v>
      </c>
      <c r="AT18" t="s">
        <v>894</v>
      </c>
      <c r="AU18" t="s">
        <v>895</v>
      </c>
      <c r="BC18">
        <v>1</v>
      </c>
      <c r="BD18">
        <v>6</v>
      </c>
      <c r="BE18">
        <v>0</v>
      </c>
      <c r="BF18">
        <v>0</v>
      </c>
      <c r="BG18">
        <v>7</v>
      </c>
      <c r="BI18" s="1">
        <v>16796</v>
      </c>
      <c r="BJ18">
        <v>9</v>
      </c>
      <c r="BK18">
        <v>2</v>
      </c>
      <c r="BL18">
        <v>11</v>
      </c>
      <c r="BM18">
        <v>23.8</v>
      </c>
      <c r="BN18">
        <v>34.799999999999997</v>
      </c>
      <c r="BO18" s="3">
        <v>0.2586</v>
      </c>
      <c r="BP18" s="1">
        <v>4071</v>
      </c>
      <c r="BQ18" s="4">
        <v>85000</v>
      </c>
      <c r="BT18" s="1">
        <v>61500</v>
      </c>
      <c r="BU18" s="4">
        <v>30004</v>
      </c>
      <c r="BV18" s="4">
        <v>57331</v>
      </c>
      <c r="BW18" s="4">
        <v>39781</v>
      </c>
      <c r="BY18" s="4">
        <v>42221</v>
      </c>
      <c r="BZ18" s="4">
        <v>69666</v>
      </c>
      <c r="CA18" s="4">
        <v>49500</v>
      </c>
      <c r="CC18" s="4">
        <v>42221</v>
      </c>
      <c r="CD18" s="4">
        <v>69666</v>
      </c>
      <c r="CE18" s="1">
        <v>43750</v>
      </c>
      <c r="CG18" s="4">
        <v>46547</v>
      </c>
      <c r="CH18" s="4">
        <v>76803</v>
      </c>
      <c r="CI18" s="4">
        <v>48957</v>
      </c>
      <c r="CK18" s="4">
        <v>42221</v>
      </c>
      <c r="CL18" s="4">
        <v>69666</v>
      </c>
      <c r="CM18">
        <v>0</v>
      </c>
      <c r="CO18" s="4">
        <v>42221</v>
      </c>
      <c r="CP18" s="4">
        <v>69666</v>
      </c>
      <c r="CQ18" s="4">
        <v>46455</v>
      </c>
      <c r="CR18" s="4">
        <v>42221</v>
      </c>
      <c r="CS18" s="4">
        <v>69666</v>
      </c>
      <c r="CT18" s="4">
        <v>0</v>
      </c>
      <c r="CV18" s="4">
        <v>42221</v>
      </c>
      <c r="CW18" s="4">
        <v>76803</v>
      </c>
      <c r="CX18" s="4">
        <v>47000</v>
      </c>
      <c r="CZ18" s="4">
        <v>42221</v>
      </c>
      <c r="DA18" s="4">
        <v>69666</v>
      </c>
      <c r="DB18" s="4">
        <v>0</v>
      </c>
      <c r="DD18" s="4">
        <v>42221</v>
      </c>
      <c r="DE18" s="4">
        <v>69666</v>
      </c>
      <c r="DF18" s="4">
        <v>0</v>
      </c>
      <c r="DH18" s="4">
        <v>42221</v>
      </c>
      <c r="DI18" s="4">
        <v>69666</v>
      </c>
      <c r="DJ18" s="4">
        <v>0</v>
      </c>
      <c r="DK18" s="4">
        <v>27201</v>
      </c>
      <c r="DL18" s="4">
        <v>47137</v>
      </c>
      <c r="DM18" s="4">
        <v>30761</v>
      </c>
      <c r="DO18" s="4">
        <v>23498</v>
      </c>
      <c r="DP18" s="4">
        <v>38772</v>
      </c>
      <c r="DQ18" s="4">
        <v>32885</v>
      </c>
      <c r="DS18" s="4">
        <v>0</v>
      </c>
      <c r="DT18" s="4">
        <v>0</v>
      </c>
      <c r="DU18" s="4">
        <v>0</v>
      </c>
      <c r="DV18" s="4">
        <v>64302</v>
      </c>
      <c r="DW18" s="4">
        <v>2386552</v>
      </c>
      <c r="DX18" s="4">
        <v>2450854</v>
      </c>
      <c r="DY18" s="4">
        <v>149476</v>
      </c>
      <c r="DZ18" s="4">
        <v>0</v>
      </c>
      <c r="EA18" s="4">
        <v>149476</v>
      </c>
      <c r="EB18" s="4">
        <v>46213</v>
      </c>
      <c r="EC18" s="4">
        <v>0</v>
      </c>
      <c r="ED18" s="4">
        <v>46213</v>
      </c>
      <c r="EE18" s="4">
        <v>66023</v>
      </c>
      <c r="EF18" s="4">
        <v>2712566</v>
      </c>
      <c r="EG18" s="4">
        <v>1532169</v>
      </c>
      <c r="EH18" s="4">
        <v>452535</v>
      </c>
      <c r="EI18" s="4">
        <v>1984704</v>
      </c>
      <c r="EJ18" s="4">
        <v>224098</v>
      </c>
      <c r="EK18" s="4">
        <v>40937</v>
      </c>
      <c r="EL18" s="4">
        <v>65773</v>
      </c>
      <c r="EM18" s="4">
        <v>330808</v>
      </c>
      <c r="EN18" s="4">
        <v>397054</v>
      </c>
      <c r="EO18" s="4">
        <v>2712566</v>
      </c>
      <c r="EP18" s="4">
        <v>0</v>
      </c>
      <c r="EQ18" s="3">
        <v>0</v>
      </c>
      <c r="ER18" s="4">
        <v>31415</v>
      </c>
      <c r="ES18" s="4">
        <v>0</v>
      </c>
      <c r="ET18" s="4">
        <v>0</v>
      </c>
      <c r="EU18" s="4">
        <v>0</v>
      </c>
      <c r="EV18" s="4">
        <v>31415</v>
      </c>
      <c r="EW18" s="4">
        <v>31415</v>
      </c>
      <c r="EX18" s="1">
        <v>47951</v>
      </c>
      <c r="EY18" s="1">
        <v>301346</v>
      </c>
      <c r="EZ18" s="1">
        <v>45542</v>
      </c>
      <c r="FA18" s="1">
        <v>8804</v>
      </c>
      <c r="FB18" s="1">
        <v>46880</v>
      </c>
      <c r="FC18" s="1">
        <v>35641</v>
      </c>
      <c r="FD18" s="1">
        <v>2388</v>
      </c>
      <c r="FE18" s="1">
        <v>15064</v>
      </c>
      <c r="FF18" s="1">
        <v>81183</v>
      </c>
      <c r="FG18" s="1">
        <v>11192</v>
      </c>
      <c r="FH18" s="1">
        <v>61944</v>
      </c>
      <c r="FI18" s="1">
        <v>154319</v>
      </c>
      <c r="FJ18">
        <v>0</v>
      </c>
      <c r="FK18">
        <v>239</v>
      </c>
      <c r="FM18" s="1">
        <v>154319</v>
      </c>
      <c r="FN18" s="1">
        <v>9523</v>
      </c>
      <c r="FO18" s="1">
        <v>21465</v>
      </c>
      <c r="FP18" s="1">
        <v>7535</v>
      </c>
      <c r="FQ18">
        <v>9</v>
      </c>
      <c r="FR18">
        <v>88</v>
      </c>
      <c r="FS18">
        <v>97</v>
      </c>
      <c r="FT18" s="1">
        <v>44141</v>
      </c>
      <c r="FU18" s="1">
        <v>3505</v>
      </c>
      <c r="FV18">
        <v>0</v>
      </c>
      <c r="FW18">
        <v>0</v>
      </c>
      <c r="FX18" s="1">
        <v>8544</v>
      </c>
      <c r="FY18" s="1">
        <v>1573</v>
      </c>
      <c r="FZ18">
        <v>322</v>
      </c>
      <c r="GA18">
        <v>0</v>
      </c>
      <c r="GE18">
        <v>0</v>
      </c>
      <c r="GF18" s="1">
        <v>36593</v>
      </c>
      <c r="GG18" s="1">
        <v>13194</v>
      </c>
      <c r="GH18">
        <v>264</v>
      </c>
      <c r="GI18">
        <v>12</v>
      </c>
      <c r="GJ18">
        <v>20</v>
      </c>
      <c r="GK18">
        <v>0</v>
      </c>
      <c r="GL18">
        <v>0</v>
      </c>
      <c r="GM18">
        <v>0</v>
      </c>
      <c r="GN18" s="1">
        <v>89298</v>
      </c>
      <c r="GO18" s="1">
        <v>18272</v>
      </c>
      <c r="GP18">
        <v>586</v>
      </c>
      <c r="GQ18">
        <v>12</v>
      </c>
      <c r="GR18">
        <v>127</v>
      </c>
      <c r="GT18" s="1">
        <v>118081</v>
      </c>
      <c r="GU18" s="1">
        <v>16315</v>
      </c>
      <c r="GV18" s="1">
        <v>117769</v>
      </c>
      <c r="GW18" s="1">
        <v>30504</v>
      </c>
      <c r="GX18" s="1">
        <v>1654</v>
      </c>
      <c r="GY18" s="1">
        <v>18048</v>
      </c>
      <c r="GZ18" s="1">
        <v>148585</v>
      </c>
      <c r="HA18" s="1">
        <v>17969</v>
      </c>
      <c r="HB18" s="1">
        <v>135817</v>
      </c>
      <c r="HC18" s="1">
        <v>302371</v>
      </c>
      <c r="HD18" s="1">
        <v>3807</v>
      </c>
      <c r="HE18" s="1">
        <v>306178</v>
      </c>
      <c r="HF18" s="1">
        <v>17939</v>
      </c>
      <c r="HG18" s="1">
        <v>151455</v>
      </c>
      <c r="HH18">
        <v>0</v>
      </c>
      <c r="HI18">
        <v>0</v>
      </c>
      <c r="HJ18" s="1">
        <v>169394</v>
      </c>
      <c r="HK18" s="1">
        <v>475572</v>
      </c>
      <c r="HL18">
        <v>95</v>
      </c>
      <c r="HM18" s="1">
        <v>25514</v>
      </c>
      <c r="HN18" s="1">
        <v>25609</v>
      </c>
      <c r="HO18">
        <v>20</v>
      </c>
      <c r="HP18" s="1">
        <v>24387</v>
      </c>
      <c r="HQ18" s="1">
        <v>24407</v>
      </c>
      <c r="HR18">
        <v>0</v>
      </c>
      <c r="HS18">
        <v>177</v>
      </c>
      <c r="HT18">
        <v>177</v>
      </c>
      <c r="HU18" s="1">
        <v>1243</v>
      </c>
      <c r="HV18" s="1">
        <v>51436</v>
      </c>
      <c r="HW18" s="1">
        <v>22820</v>
      </c>
      <c r="HX18" s="1">
        <v>66135</v>
      </c>
      <c r="HY18" s="1">
        <v>88955</v>
      </c>
      <c r="HZ18" s="1">
        <v>140391</v>
      </c>
      <c r="IA18" s="1">
        <v>42346</v>
      </c>
      <c r="IB18" s="1">
        <v>193978</v>
      </c>
      <c r="IC18" s="1">
        <v>527008</v>
      </c>
      <c r="ID18" s="1">
        <v>527008</v>
      </c>
      <c r="IE18" s="1">
        <v>615963</v>
      </c>
      <c r="IF18" s="1">
        <v>184255</v>
      </c>
      <c r="IG18">
        <v>65</v>
      </c>
      <c r="IJ18">
        <v>1</v>
      </c>
      <c r="IK18" s="3">
        <v>7.3200000000000001E-2</v>
      </c>
      <c r="IL18" s="3">
        <v>8.0000000000000004E-4</v>
      </c>
      <c r="IM18" s="3">
        <v>0.3589</v>
      </c>
      <c r="IN18" s="3">
        <v>0</v>
      </c>
      <c r="IO18" s="3">
        <v>0.29630000000000001</v>
      </c>
      <c r="IP18" s="3">
        <v>2.9999999999999997E-4</v>
      </c>
      <c r="IQ18" s="3">
        <v>0.5121</v>
      </c>
      <c r="IR18" s="3">
        <v>9.2200000000000004E-2</v>
      </c>
      <c r="IS18" s="3">
        <v>0.34960000000000002</v>
      </c>
      <c r="IT18" s="1">
        <v>72450</v>
      </c>
      <c r="IU18" s="1">
        <v>14367</v>
      </c>
      <c r="IV18" s="1">
        <v>86817</v>
      </c>
      <c r="IW18" s="3">
        <v>0.75119999999999998</v>
      </c>
      <c r="IX18" s="1">
        <v>412433</v>
      </c>
      <c r="IZ18">
        <v>468</v>
      </c>
      <c r="JA18">
        <v>36</v>
      </c>
      <c r="JB18" s="1">
        <v>1032</v>
      </c>
      <c r="JC18">
        <v>28</v>
      </c>
      <c r="JD18">
        <v>5</v>
      </c>
      <c r="JE18">
        <v>85</v>
      </c>
      <c r="JF18">
        <v>496</v>
      </c>
      <c r="JG18">
        <v>41</v>
      </c>
      <c r="JH18" s="1">
        <v>1117</v>
      </c>
      <c r="JI18" s="1">
        <v>1654</v>
      </c>
      <c r="JJ18" s="1">
        <v>1536</v>
      </c>
      <c r="JK18">
        <v>118</v>
      </c>
      <c r="JL18" s="1">
        <v>2699</v>
      </c>
      <c r="JM18">
        <v>303</v>
      </c>
      <c r="JN18" s="1">
        <v>17426</v>
      </c>
      <c r="JO18">
        <v>981</v>
      </c>
      <c r="JP18">
        <v>17</v>
      </c>
      <c r="JQ18" s="1">
        <v>2912</v>
      </c>
      <c r="JR18" s="1">
        <v>3680</v>
      </c>
      <c r="JS18">
        <v>320</v>
      </c>
      <c r="JT18" s="1">
        <v>20338</v>
      </c>
      <c r="JU18" s="1">
        <v>24338</v>
      </c>
      <c r="JV18" s="1">
        <v>20428</v>
      </c>
      <c r="JW18" s="1">
        <v>3910</v>
      </c>
      <c r="JX18">
        <v>14.71</v>
      </c>
      <c r="JY18">
        <v>7.42</v>
      </c>
      <c r="JZ18">
        <v>18.21</v>
      </c>
      <c r="KA18">
        <v>0.15</v>
      </c>
      <c r="KB18">
        <v>0.84</v>
      </c>
      <c r="KC18">
        <v>9</v>
      </c>
      <c r="KD18">
        <v>32</v>
      </c>
      <c r="KE18">
        <v>219</v>
      </c>
      <c r="KF18">
        <v>536</v>
      </c>
      <c r="KG18">
        <v>766</v>
      </c>
      <c r="KH18" s="1">
        <v>11648</v>
      </c>
      <c r="KI18">
        <v>27</v>
      </c>
      <c r="KJ18">
        <v>129</v>
      </c>
      <c r="KK18">
        <v>145</v>
      </c>
      <c r="KL18" s="1">
        <v>2498</v>
      </c>
      <c r="KM18" s="1">
        <v>49574</v>
      </c>
      <c r="KN18" s="1">
        <v>20752</v>
      </c>
      <c r="KO18" s="1">
        <v>3764</v>
      </c>
      <c r="KQ18">
        <v>431</v>
      </c>
      <c r="KR18" s="1">
        <v>31665</v>
      </c>
      <c r="KS18">
        <v>0</v>
      </c>
      <c r="KT18">
        <v>156</v>
      </c>
      <c r="KU18">
        <v>60</v>
      </c>
      <c r="KV18">
        <v>129</v>
      </c>
      <c r="KW18" s="1">
        <v>79546</v>
      </c>
      <c r="KY18" s="1">
        <v>1062236</v>
      </c>
      <c r="LC18" t="s">
        <v>885</v>
      </c>
      <c r="LD18" t="s">
        <v>709</v>
      </c>
      <c r="LE18" t="s">
        <v>883</v>
      </c>
      <c r="LF18" t="s">
        <v>884</v>
      </c>
      <c r="LG18">
        <v>28658</v>
      </c>
      <c r="LH18">
        <v>3397</v>
      </c>
      <c r="LI18" t="s">
        <v>883</v>
      </c>
      <c r="LJ18" t="s">
        <v>884</v>
      </c>
      <c r="LK18">
        <v>28658</v>
      </c>
      <c r="LL18">
        <v>3397</v>
      </c>
      <c r="LM18" t="s">
        <v>886</v>
      </c>
      <c r="LN18">
        <v>8284658664</v>
      </c>
      <c r="LO18">
        <v>8284658983</v>
      </c>
      <c r="LP18" s="1">
        <v>58075</v>
      </c>
      <c r="LQ18">
        <v>33.799999999999997</v>
      </c>
      <c r="LS18" s="1">
        <v>16796</v>
      </c>
      <c r="LT18">
        <v>364</v>
      </c>
      <c r="LW18">
        <v>6</v>
      </c>
      <c r="LX18" t="s">
        <v>896</v>
      </c>
      <c r="LY18">
        <v>0</v>
      </c>
      <c r="LZ18" t="s">
        <v>691</v>
      </c>
      <c r="MA18">
        <v>64.7</v>
      </c>
      <c r="MB18">
        <v>86.6</v>
      </c>
    </row>
    <row r="19" spans="1:340" x14ac:dyDescent="0.25">
      <c r="A19" t="s">
        <v>897</v>
      </c>
      <c r="B19">
        <v>0</v>
      </c>
      <c r="C19">
        <v>1375</v>
      </c>
      <c r="D19">
        <v>2017</v>
      </c>
      <c r="E19">
        <v>0</v>
      </c>
      <c r="F19" t="s">
        <v>897</v>
      </c>
      <c r="G19" t="s">
        <v>898</v>
      </c>
      <c r="H19" t="s">
        <v>668</v>
      </c>
      <c r="I19" t="s">
        <v>899</v>
      </c>
      <c r="J19" t="s">
        <v>870</v>
      </c>
      <c r="K19" t="s">
        <v>671</v>
      </c>
      <c r="L19" t="s">
        <v>900</v>
      </c>
      <c r="M19" t="s">
        <v>673</v>
      </c>
      <c r="N19" s="1">
        <v>59568</v>
      </c>
      <c r="O19" t="s">
        <v>674</v>
      </c>
      <c r="P19" s="1">
        <v>2445</v>
      </c>
      <c r="Q19">
        <v>549</v>
      </c>
      <c r="R19">
        <v>162</v>
      </c>
      <c r="S19">
        <v>36</v>
      </c>
      <c r="T19" s="1">
        <v>10108</v>
      </c>
      <c r="U19">
        <v>216</v>
      </c>
      <c r="V19" s="1">
        <v>179281</v>
      </c>
      <c r="W19" s="1">
        <v>13710</v>
      </c>
      <c r="X19" s="1">
        <v>1843646</v>
      </c>
      <c r="Y19" s="1">
        <v>413972</v>
      </c>
      <c r="Z19" t="s">
        <v>901</v>
      </c>
      <c r="AA19" t="s">
        <v>902</v>
      </c>
      <c r="AB19">
        <v>27514</v>
      </c>
      <c r="AC19">
        <v>3649</v>
      </c>
      <c r="AD19" t="s">
        <v>901</v>
      </c>
      <c r="AE19" t="s">
        <v>902</v>
      </c>
      <c r="AF19">
        <v>27514</v>
      </c>
      <c r="AG19">
        <v>3</v>
      </c>
      <c r="AH19" t="s">
        <v>903</v>
      </c>
      <c r="AJ19" t="s">
        <v>904</v>
      </c>
      <c r="AK19" t="s">
        <v>905</v>
      </c>
      <c r="AL19" t="s">
        <v>906</v>
      </c>
      <c r="AM19" t="s">
        <v>907</v>
      </c>
      <c r="AN19" t="s">
        <v>908</v>
      </c>
      <c r="AO19" t="s">
        <v>909</v>
      </c>
      <c r="AP19" t="s">
        <v>910</v>
      </c>
      <c r="AQ19" t="s">
        <v>892</v>
      </c>
      <c r="AR19" t="s">
        <v>911</v>
      </c>
      <c r="AS19" t="s">
        <v>908</v>
      </c>
      <c r="AT19" t="s">
        <v>912</v>
      </c>
      <c r="AU19" t="s">
        <v>913</v>
      </c>
      <c r="BC19">
        <v>1</v>
      </c>
      <c r="BD19">
        <v>0</v>
      </c>
      <c r="BE19">
        <v>0</v>
      </c>
      <c r="BF19">
        <v>1</v>
      </c>
      <c r="BG19">
        <v>2</v>
      </c>
      <c r="BI19" s="1">
        <v>3489</v>
      </c>
      <c r="BJ19">
        <v>10</v>
      </c>
      <c r="BK19">
        <v>0</v>
      </c>
      <c r="BL19">
        <v>10</v>
      </c>
      <c r="BM19">
        <v>24.03</v>
      </c>
      <c r="BN19">
        <v>34.03</v>
      </c>
      <c r="BO19" s="3">
        <v>0.29389999999999999</v>
      </c>
      <c r="BP19" s="1">
        <v>1433</v>
      </c>
      <c r="BQ19" s="4">
        <v>102178</v>
      </c>
      <c r="BT19" s="1">
        <v>79636</v>
      </c>
      <c r="BY19" s="4">
        <v>71172</v>
      </c>
      <c r="BZ19" s="4">
        <v>71172</v>
      </c>
      <c r="CA19" s="4">
        <v>71172</v>
      </c>
      <c r="CC19" s="4">
        <v>59029</v>
      </c>
      <c r="CD19" s="4">
        <v>59029</v>
      </c>
      <c r="CE19" s="1">
        <v>59029</v>
      </c>
      <c r="CG19" s="4">
        <v>59029</v>
      </c>
      <c r="CH19" s="4">
        <v>59029</v>
      </c>
      <c r="CI19" s="4">
        <v>59029</v>
      </c>
      <c r="CO19" s="4">
        <v>41461</v>
      </c>
      <c r="CP19" s="4">
        <v>79636</v>
      </c>
      <c r="CQ19" s="4">
        <v>60105</v>
      </c>
      <c r="CR19" s="4">
        <v>50849</v>
      </c>
      <c r="CS19" s="4">
        <v>58934</v>
      </c>
      <c r="CT19" s="4">
        <v>54892</v>
      </c>
      <c r="CV19" s="4">
        <v>53846</v>
      </c>
      <c r="CW19" s="4">
        <v>55750</v>
      </c>
      <c r="CX19" s="4">
        <v>54798</v>
      </c>
      <c r="DD19" s="4">
        <v>61017</v>
      </c>
      <c r="DE19" s="4">
        <v>61017</v>
      </c>
      <c r="DF19" s="4">
        <v>61017</v>
      </c>
      <c r="DK19" s="4">
        <v>38519</v>
      </c>
      <c r="DL19" s="4">
        <v>46915</v>
      </c>
      <c r="DM19" s="4">
        <v>42717</v>
      </c>
      <c r="DV19" s="4">
        <v>2125506</v>
      </c>
      <c r="DW19" s="4">
        <v>568139</v>
      </c>
      <c r="DX19" s="4">
        <v>2693645</v>
      </c>
      <c r="DY19" s="4">
        <v>28064</v>
      </c>
      <c r="DZ19" s="4">
        <v>0</v>
      </c>
      <c r="EA19" s="4">
        <v>28064</v>
      </c>
      <c r="EB19" s="4">
        <v>102459</v>
      </c>
      <c r="EC19" s="4">
        <v>0</v>
      </c>
      <c r="ED19" s="4">
        <v>102459</v>
      </c>
      <c r="EE19" s="4">
        <v>194077</v>
      </c>
      <c r="EF19" s="4">
        <v>3018245</v>
      </c>
      <c r="EG19" s="4">
        <v>1579584</v>
      </c>
      <c r="EH19" s="4">
        <v>538312</v>
      </c>
      <c r="EI19" s="4">
        <v>2117896</v>
      </c>
      <c r="EJ19" s="4">
        <v>147771</v>
      </c>
      <c r="EK19" s="4">
        <v>56284</v>
      </c>
      <c r="EL19" s="4">
        <v>49561</v>
      </c>
      <c r="EM19" s="4">
        <v>253616</v>
      </c>
      <c r="EN19" s="4">
        <v>544291</v>
      </c>
      <c r="EO19" s="4">
        <v>2915803</v>
      </c>
      <c r="EP19" s="4">
        <v>102442</v>
      </c>
      <c r="EQ19" s="3">
        <v>3.39E-2</v>
      </c>
      <c r="ER19" s="4">
        <v>0</v>
      </c>
      <c r="ES19" s="4">
        <v>0</v>
      </c>
      <c r="ET19" s="4">
        <v>0</v>
      </c>
      <c r="EU19" s="4">
        <v>0</v>
      </c>
      <c r="EV19" s="4">
        <v>0</v>
      </c>
      <c r="EW19" s="4">
        <v>0</v>
      </c>
      <c r="EX19" s="1">
        <v>41696</v>
      </c>
      <c r="EY19" s="1">
        <v>317619</v>
      </c>
      <c r="EZ19" s="1">
        <v>47159</v>
      </c>
      <c r="FA19" s="1">
        <v>8772</v>
      </c>
      <c r="FB19" s="1">
        <v>62363</v>
      </c>
      <c r="FC19" s="1">
        <v>44218</v>
      </c>
      <c r="FD19" s="1">
        <v>1039</v>
      </c>
      <c r="FE19" s="1">
        <v>20063</v>
      </c>
      <c r="FF19" s="1">
        <v>91377</v>
      </c>
      <c r="FG19" s="1">
        <v>9811</v>
      </c>
      <c r="FH19" s="1">
        <v>82426</v>
      </c>
      <c r="FI19" s="1">
        <v>183614</v>
      </c>
      <c r="FJ19">
        <v>0</v>
      </c>
      <c r="FK19">
        <v>160</v>
      </c>
      <c r="FM19" s="1">
        <v>183614</v>
      </c>
      <c r="FN19" s="1">
        <v>13028</v>
      </c>
      <c r="FO19" s="1">
        <v>11487</v>
      </c>
      <c r="FP19">
        <v>31</v>
      </c>
      <c r="FQ19">
        <v>5</v>
      </c>
      <c r="FR19">
        <v>88</v>
      </c>
      <c r="FS19">
        <v>93</v>
      </c>
      <c r="FT19" s="1">
        <v>44141</v>
      </c>
      <c r="FU19" s="1">
        <v>3505</v>
      </c>
      <c r="FV19">
        <v>0</v>
      </c>
      <c r="FW19">
        <v>0</v>
      </c>
      <c r="FX19" s="1">
        <v>8544</v>
      </c>
      <c r="FY19" s="1">
        <v>1573</v>
      </c>
      <c r="FZ19">
        <v>322</v>
      </c>
      <c r="GA19">
        <v>0</v>
      </c>
      <c r="GE19">
        <v>0</v>
      </c>
      <c r="GF19" s="1">
        <v>36593</v>
      </c>
      <c r="GG19" s="1">
        <v>13194</v>
      </c>
      <c r="GH19">
        <v>264</v>
      </c>
      <c r="GI19">
        <v>12</v>
      </c>
      <c r="GJ19">
        <v>840</v>
      </c>
      <c r="GK19">
        <v>218</v>
      </c>
      <c r="GL19">
        <v>0</v>
      </c>
      <c r="GM19">
        <v>0</v>
      </c>
      <c r="GN19" s="1">
        <v>90118</v>
      </c>
      <c r="GO19" s="1">
        <v>18490</v>
      </c>
      <c r="GP19">
        <v>586</v>
      </c>
      <c r="GQ19">
        <v>12</v>
      </c>
      <c r="GR19">
        <v>74</v>
      </c>
      <c r="GT19" s="1">
        <v>183799</v>
      </c>
      <c r="GU19" s="1">
        <v>37302</v>
      </c>
      <c r="GV19" s="1">
        <v>550748</v>
      </c>
      <c r="GW19" s="1">
        <v>149947</v>
      </c>
      <c r="GX19" s="1">
        <v>2946</v>
      </c>
      <c r="GY19" s="1">
        <v>110040</v>
      </c>
      <c r="GZ19" s="1">
        <v>333746</v>
      </c>
      <c r="HA19" s="1">
        <v>40248</v>
      </c>
      <c r="HB19" s="1">
        <v>660788</v>
      </c>
      <c r="HC19" s="1">
        <v>1034782</v>
      </c>
      <c r="HD19" s="1">
        <v>4957</v>
      </c>
      <c r="HE19" s="1">
        <v>1039739</v>
      </c>
      <c r="HF19" s="1">
        <v>89165</v>
      </c>
      <c r="HG19" s="1">
        <v>200212</v>
      </c>
      <c r="HH19">
        <v>0</v>
      </c>
      <c r="HI19">
        <v>0</v>
      </c>
      <c r="HJ19" s="1">
        <v>289377</v>
      </c>
      <c r="HK19" s="1">
        <v>1329116</v>
      </c>
      <c r="HL19">
        <v>81</v>
      </c>
      <c r="HM19" s="1">
        <v>59348</v>
      </c>
      <c r="HN19" s="1">
        <v>59429</v>
      </c>
      <c r="HO19">
        <v>307</v>
      </c>
      <c r="HP19" s="1">
        <v>39575</v>
      </c>
      <c r="HQ19" s="1">
        <v>39882</v>
      </c>
      <c r="HR19">
        <v>0</v>
      </c>
      <c r="HS19">
        <v>396</v>
      </c>
      <c r="HT19">
        <v>396</v>
      </c>
      <c r="HU19" s="1">
        <v>2407</v>
      </c>
      <c r="HV19" s="1">
        <v>102114</v>
      </c>
      <c r="HW19" s="1">
        <v>69037</v>
      </c>
      <c r="HX19" s="1">
        <v>42353</v>
      </c>
      <c r="HY19" s="1">
        <v>111390</v>
      </c>
      <c r="HZ19" s="1">
        <v>213504</v>
      </c>
      <c r="IA19" s="1">
        <v>129047</v>
      </c>
      <c r="IB19" s="1">
        <v>329655</v>
      </c>
      <c r="IC19" s="1">
        <v>1431230</v>
      </c>
      <c r="ID19" s="1">
        <v>1431230</v>
      </c>
      <c r="IE19" s="1">
        <v>1542620</v>
      </c>
      <c r="IF19" s="1">
        <v>800891</v>
      </c>
      <c r="IG19">
        <v>849</v>
      </c>
      <c r="IJ19">
        <v>3</v>
      </c>
      <c r="IK19" s="3">
        <v>3.7999999999999999E-2</v>
      </c>
      <c r="IL19" s="3">
        <v>5.0000000000000001E-4</v>
      </c>
      <c r="IM19" s="3">
        <v>0.34379999999999999</v>
      </c>
      <c r="IN19" s="3">
        <v>0</v>
      </c>
      <c r="IO19" s="3">
        <v>0.28370000000000001</v>
      </c>
      <c r="IP19" s="3">
        <v>2.9999999999999997E-4</v>
      </c>
      <c r="IQ19" s="3">
        <v>0.57809999999999995</v>
      </c>
      <c r="IR19" s="3">
        <v>9.9199999999999997E-2</v>
      </c>
      <c r="IS19" s="3">
        <v>0.55959999999999999</v>
      </c>
      <c r="IT19" s="1">
        <v>43049</v>
      </c>
      <c r="IU19" s="1">
        <v>8046</v>
      </c>
      <c r="IV19" s="1">
        <v>51095</v>
      </c>
      <c r="IW19" s="3">
        <v>0.85780000000000001</v>
      </c>
      <c r="IX19" s="1">
        <v>591118</v>
      </c>
      <c r="IZ19">
        <v>107</v>
      </c>
      <c r="JA19">
        <v>129</v>
      </c>
      <c r="JB19">
        <v>683</v>
      </c>
      <c r="JC19">
        <v>2</v>
      </c>
      <c r="JD19">
        <v>9</v>
      </c>
      <c r="JE19">
        <v>103</v>
      </c>
      <c r="JF19">
        <v>109</v>
      </c>
      <c r="JG19">
        <v>138</v>
      </c>
      <c r="JH19">
        <v>786</v>
      </c>
      <c r="JI19" s="1">
        <v>1033</v>
      </c>
      <c r="JJ19">
        <v>919</v>
      </c>
      <c r="JK19">
        <v>114</v>
      </c>
      <c r="JL19" s="1">
        <v>2512</v>
      </c>
      <c r="JM19" s="1">
        <v>1721</v>
      </c>
      <c r="JN19" s="1">
        <v>30172</v>
      </c>
      <c r="JO19">
        <v>680</v>
      </c>
      <c r="JP19">
        <v>332</v>
      </c>
      <c r="JQ19" s="1">
        <v>5602</v>
      </c>
      <c r="JR19" s="1">
        <v>3192</v>
      </c>
      <c r="JS19" s="1">
        <v>2053</v>
      </c>
      <c r="JT19" s="1">
        <v>35774</v>
      </c>
      <c r="JU19" s="1">
        <v>41019</v>
      </c>
      <c r="JV19" s="1">
        <v>34405</v>
      </c>
      <c r="JW19" s="1">
        <v>6614</v>
      </c>
      <c r="JX19">
        <v>39.71</v>
      </c>
      <c r="JY19">
        <v>29.28</v>
      </c>
      <c r="JZ19">
        <v>45.51</v>
      </c>
      <c r="KA19">
        <v>0.08</v>
      </c>
      <c r="KB19">
        <v>0.87</v>
      </c>
      <c r="KC19">
        <v>24</v>
      </c>
      <c r="KD19">
        <v>266</v>
      </c>
      <c r="KE19">
        <v>34</v>
      </c>
      <c r="KF19">
        <v>284</v>
      </c>
      <c r="KG19">
        <v>512</v>
      </c>
      <c r="KH19" s="1">
        <v>18026</v>
      </c>
      <c r="KI19">
        <v>16</v>
      </c>
      <c r="KJ19">
        <v>125</v>
      </c>
      <c r="KK19">
        <v>51</v>
      </c>
      <c r="KL19" s="1">
        <v>2101</v>
      </c>
      <c r="KM19">
        <v>0</v>
      </c>
      <c r="KN19">
        <v>0</v>
      </c>
      <c r="KO19">
        <v>0</v>
      </c>
      <c r="KQ19" s="1">
        <v>2132</v>
      </c>
      <c r="KS19">
        <v>0</v>
      </c>
      <c r="KT19">
        <v>0</v>
      </c>
      <c r="KU19">
        <v>41</v>
      </c>
      <c r="KV19">
        <v>69</v>
      </c>
      <c r="KW19">
        <v>0</v>
      </c>
      <c r="KY19" s="1">
        <v>1007499</v>
      </c>
      <c r="KZ19" s="1">
        <v>20461</v>
      </c>
      <c r="LC19" t="s">
        <v>903</v>
      </c>
      <c r="LD19" t="s">
        <v>689</v>
      </c>
      <c r="LE19" t="s">
        <v>901</v>
      </c>
      <c r="LF19" t="s">
        <v>902</v>
      </c>
      <c r="LG19">
        <v>27514</v>
      </c>
      <c r="LH19">
        <v>3640</v>
      </c>
      <c r="LI19" t="s">
        <v>901</v>
      </c>
      <c r="LJ19" t="s">
        <v>902</v>
      </c>
      <c r="LK19">
        <v>27514</v>
      </c>
      <c r="LL19">
        <v>3640</v>
      </c>
      <c r="LM19" t="s">
        <v>905</v>
      </c>
      <c r="LN19">
        <v>9199682777</v>
      </c>
      <c r="LO19">
        <v>9199682838</v>
      </c>
      <c r="LP19" s="1">
        <v>63305</v>
      </c>
      <c r="LQ19">
        <v>34.03</v>
      </c>
      <c r="LS19" s="1">
        <v>3489</v>
      </c>
      <c r="LT19">
        <v>52</v>
      </c>
      <c r="LW19">
        <v>2</v>
      </c>
      <c r="LX19" t="s">
        <v>914</v>
      </c>
      <c r="LY19">
        <v>0</v>
      </c>
      <c r="LZ19" t="s">
        <v>691</v>
      </c>
      <c r="MA19">
        <v>36.700000000000003</v>
      </c>
      <c r="MB19">
        <v>99.6</v>
      </c>
    </row>
    <row r="20" spans="1:340" x14ac:dyDescent="0.25">
      <c r="A20" t="s">
        <v>915</v>
      </c>
      <c r="B20">
        <v>0</v>
      </c>
      <c r="C20">
        <v>1375</v>
      </c>
      <c r="D20">
        <v>2017</v>
      </c>
      <c r="E20">
        <v>0</v>
      </c>
      <c r="F20" t="s">
        <v>915</v>
      </c>
      <c r="G20" t="s">
        <v>916</v>
      </c>
      <c r="H20" t="s">
        <v>668</v>
      </c>
      <c r="I20" t="s">
        <v>917</v>
      </c>
      <c r="J20" t="s">
        <v>670</v>
      </c>
      <c r="K20" t="s">
        <v>671</v>
      </c>
      <c r="L20" t="s">
        <v>672</v>
      </c>
      <c r="M20" t="s">
        <v>673</v>
      </c>
      <c r="N20" s="1">
        <v>1055791</v>
      </c>
      <c r="O20" t="s">
        <v>674</v>
      </c>
      <c r="P20" s="1">
        <v>16673</v>
      </c>
      <c r="Q20" s="1">
        <v>5493</v>
      </c>
      <c r="R20" s="1">
        <v>4770</v>
      </c>
      <c r="S20">
        <v>727</v>
      </c>
      <c r="T20" s="1">
        <v>86558</v>
      </c>
      <c r="U20" s="1">
        <v>8306</v>
      </c>
      <c r="V20" s="1">
        <v>630302</v>
      </c>
      <c r="W20" s="1">
        <v>61261</v>
      </c>
      <c r="X20" s="1">
        <v>11019225</v>
      </c>
      <c r="Y20" s="1">
        <v>3446794</v>
      </c>
      <c r="Z20" t="s">
        <v>918</v>
      </c>
      <c r="AA20" t="s">
        <v>919</v>
      </c>
      <c r="AB20">
        <v>28202</v>
      </c>
      <c r="AC20">
        <v>2139</v>
      </c>
      <c r="AD20" t="s">
        <v>918</v>
      </c>
      <c r="AE20" t="s">
        <v>919</v>
      </c>
      <c r="AF20">
        <v>28202</v>
      </c>
      <c r="AG20">
        <v>3</v>
      </c>
      <c r="AH20" t="s">
        <v>920</v>
      </c>
      <c r="AJ20" t="s">
        <v>35</v>
      </c>
      <c r="AK20" t="s">
        <v>921</v>
      </c>
      <c r="AL20" t="s">
        <v>922</v>
      </c>
      <c r="AM20" t="s">
        <v>923</v>
      </c>
      <c r="AN20" t="s">
        <v>924</v>
      </c>
      <c r="AO20" t="s">
        <v>925</v>
      </c>
      <c r="AP20" t="s">
        <v>926</v>
      </c>
      <c r="AQ20" t="s">
        <v>927</v>
      </c>
      <c r="AR20" t="s">
        <v>928</v>
      </c>
      <c r="AS20" t="s">
        <v>924</v>
      </c>
      <c r="AT20" t="s">
        <v>929</v>
      </c>
      <c r="AU20" t="s">
        <v>930</v>
      </c>
      <c r="BC20">
        <v>1</v>
      </c>
      <c r="BD20">
        <v>19</v>
      </c>
      <c r="BE20">
        <v>0</v>
      </c>
      <c r="BF20">
        <v>0</v>
      </c>
      <c r="BG20">
        <v>20</v>
      </c>
      <c r="BI20" s="1">
        <v>61912</v>
      </c>
      <c r="BJ20">
        <v>122.6</v>
      </c>
      <c r="BK20">
        <v>1</v>
      </c>
      <c r="BL20">
        <v>123.6</v>
      </c>
      <c r="BM20">
        <v>295.68</v>
      </c>
      <c r="BN20">
        <v>419.28</v>
      </c>
      <c r="BO20" s="3">
        <v>0.29239999999999999</v>
      </c>
      <c r="BP20" s="1">
        <v>61274</v>
      </c>
      <c r="BQ20" s="4">
        <v>173855</v>
      </c>
      <c r="BT20" s="1">
        <v>86813</v>
      </c>
      <c r="BU20" s="4">
        <v>59173</v>
      </c>
      <c r="BV20" s="4">
        <v>90073</v>
      </c>
      <c r="BW20" s="4">
        <v>74784</v>
      </c>
      <c r="BY20" s="4">
        <v>66604</v>
      </c>
      <c r="BZ20" s="4">
        <v>83323</v>
      </c>
      <c r="CA20" s="4">
        <v>74963</v>
      </c>
      <c r="CC20" s="4">
        <v>71725</v>
      </c>
      <c r="CD20" s="4">
        <v>71725</v>
      </c>
      <c r="CE20" s="1">
        <v>71725</v>
      </c>
      <c r="CG20" s="4">
        <v>67472</v>
      </c>
      <c r="CH20" s="4">
        <v>71805</v>
      </c>
      <c r="CI20" s="4">
        <v>69442</v>
      </c>
      <c r="CR20" s="4">
        <v>47476</v>
      </c>
      <c r="CS20" s="4">
        <v>69195</v>
      </c>
      <c r="CT20" s="4">
        <v>55255</v>
      </c>
      <c r="CV20" s="4">
        <v>47476</v>
      </c>
      <c r="CW20" s="4">
        <v>67446</v>
      </c>
      <c r="CX20" s="4">
        <v>55651</v>
      </c>
      <c r="CZ20" s="4">
        <v>56783</v>
      </c>
      <c r="DA20" s="4">
        <v>73982</v>
      </c>
      <c r="DB20" s="4">
        <v>65664</v>
      </c>
      <c r="DH20" s="4">
        <v>47476</v>
      </c>
      <c r="DI20" s="4">
        <v>70067</v>
      </c>
      <c r="DJ20" s="4">
        <v>55330</v>
      </c>
      <c r="DK20" s="4">
        <v>41160</v>
      </c>
      <c r="DL20" s="4">
        <v>63121</v>
      </c>
      <c r="DM20" s="4">
        <v>50169</v>
      </c>
      <c r="DO20" s="4">
        <v>26280</v>
      </c>
      <c r="DP20" s="4">
        <v>49396</v>
      </c>
      <c r="DQ20" s="4">
        <v>34690</v>
      </c>
      <c r="DS20" s="4">
        <v>70599</v>
      </c>
      <c r="DT20" s="4">
        <v>96300</v>
      </c>
      <c r="DU20" s="4">
        <v>83127</v>
      </c>
      <c r="DV20" s="4">
        <v>2500</v>
      </c>
      <c r="DW20" s="4">
        <v>36440898</v>
      </c>
      <c r="DX20" s="4">
        <v>36443398</v>
      </c>
      <c r="DY20" s="4">
        <v>612394</v>
      </c>
      <c r="DZ20" s="4">
        <v>0</v>
      </c>
      <c r="EA20" s="4">
        <v>612394</v>
      </c>
      <c r="EB20" s="4">
        <v>81682</v>
      </c>
      <c r="EC20" s="4">
        <v>0</v>
      </c>
      <c r="ED20" s="4">
        <v>81682</v>
      </c>
      <c r="EE20" s="4">
        <v>2647782</v>
      </c>
      <c r="EF20" s="4">
        <v>39785256</v>
      </c>
      <c r="EG20" s="4">
        <v>18182464</v>
      </c>
      <c r="EH20" s="4">
        <v>7955663</v>
      </c>
      <c r="EI20" s="4">
        <v>26138127</v>
      </c>
      <c r="EJ20" s="4">
        <v>2128661</v>
      </c>
      <c r="EK20" s="4">
        <v>1563120</v>
      </c>
      <c r="EL20" s="4">
        <v>314512</v>
      </c>
      <c r="EM20" s="4">
        <v>4006293</v>
      </c>
      <c r="EN20" s="4">
        <v>9310955</v>
      </c>
      <c r="EO20" s="4">
        <v>39455375</v>
      </c>
      <c r="EP20" s="4">
        <v>329881</v>
      </c>
      <c r="EQ20" s="3">
        <v>8.3000000000000001E-3</v>
      </c>
      <c r="ER20" s="4">
        <v>3314461</v>
      </c>
      <c r="ES20" s="4">
        <v>0</v>
      </c>
      <c r="ET20" s="4">
        <v>0</v>
      </c>
      <c r="EU20" s="4">
        <v>0</v>
      </c>
      <c r="EV20" s="4">
        <v>3314461</v>
      </c>
      <c r="EW20" s="4">
        <v>3314461</v>
      </c>
      <c r="EX20" s="1">
        <v>102822</v>
      </c>
      <c r="EY20" s="1">
        <v>1169749</v>
      </c>
      <c r="EZ20" s="1">
        <v>191205</v>
      </c>
      <c r="FA20" s="1">
        <v>46906</v>
      </c>
      <c r="FB20" s="1">
        <v>259099</v>
      </c>
      <c r="FC20" s="1">
        <v>276041</v>
      </c>
      <c r="FD20" s="1">
        <v>16415</v>
      </c>
      <c r="FE20" s="1">
        <v>97700</v>
      </c>
      <c r="FF20" s="1">
        <v>467246</v>
      </c>
      <c r="FG20" s="1">
        <v>63321</v>
      </c>
      <c r="FH20" s="1">
        <v>356799</v>
      </c>
      <c r="FI20" s="1">
        <v>887366</v>
      </c>
      <c r="FJ20">
        <v>301</v>
      </c>
      <c r="FK20" s="1">
        <v>1858</v>
      </c>
      <c r="FM20" s="1">
        <v>887366</v>
      </c>
      <c r="FN20" s="1">
        <v>54614</v>
      </c>
      <c r="FO20" s="1">
        <v>30895</v>
      </c>
      <c r="FP20" s="1">
        <v>84724</v>
      </c>
      <c r="FQ20">
        <v>25</v>
      </c>
      <c r="FR20">
        <v>88</v>
      </c>
      <c r="FS20">
        <v>113</v>
      </c>
      <c r="FT20" s="1">
        <v>44141</v>
      </c>
      <c r="FU20" s="1">
        <v>3505</v>
      </c>
      <c r="FV20">
        <v>0</v>
      </c>
      <c r="FW20">
        <v>0</v>
      </c>
      <c r="FX20" s="1">
        <v>8544</v>
      </c>
      <c r="FY20" s="1">
        <v>1573</v>
      </c>
      <c r="FZ20">
        <v>322</v>
      </c>
      <c r="GA20">
        <v>0</v>
      </c>
      <c r="GJ20" s="1">
        <v>37791</v>
      </c>
      <c r="GK20" s="1">
        <v>13156</v>
      </c>
      <c r="GL20">
        <v>652</v>
      </c>
      <c r="GM20">
        <v>194</v>
      </c>
      <c r="GN20" s="1">
        <v>90476</v>
      </c>
      <c r="GO20" s="1">
        <v>18234</v>
      </c>
      <c r="GP20">
        <v>974</v>
      </c>
      <c r="GQ20">
        <v>194</v>
      </c>
      <c r="GR20">
        <v>148</v>
      </c>
      <c r="GT20" s="1">
        <v>863101</v>
      </c>
      <c r="GU20" s="1">
        <v>189091</v>
      </c>
      <c r="GV20" s="1">
        <v>1936951</v>
      </c>
      <c r="GW20" s="1">
        <v>603737</v>
      </c>
      <c r="GX20" s="1">
        <v>24747</v>
      </c>
      <c r="GY20" s="1">
        <v>411652</v>
      </c>
      <c r="GZ20" s="1">
        <v>1466838</v>
      </c>
      <c r="HA20" s="1">
        <v>213838</v>
      </c>
      <c r="HB20" s="1">
        <v>2348603</v>
      </c>
      <c r="HC20" s="1">
        <v>4029279</v>
      </c>
      <c r="HD20">
        <v>0</v>
      </c>
      <c r="HE20" s="1">
        <v>4029279</v>
      </c>
      <c r="HF20" s="1">
        <v>326666</v>
      </c>
      <c r="HG20" s="1">
        <v>443078</v>
      </c>
      <c r="HH20">
        <v>0</v>
      </c>
      <c r="HI20">
        <v>0</v>
      </c>
      <c r="HJ20" s="1">
        <v>769744</v>
      </c>
      <c r="HK20" s="1">
        <v>4799023</v>
      </c>
      <c r="HL20" s="1">
        <v>2830</v>
      </c>
      <c r="HM20" s="1">
        <v>921669</v>
      </c>
      <c r="HN20" s="1">
        <v>924499</v>
      </c>
      <c r="HO20" s="1">
        <v>6197</v>
      </c>
      <c r="HP20" s="1">
        <v>225675</v>
      </c>
      <c r="HQ20" s="1">
        <v>231872</v>
      </c>
      <c r="HR20">
        <v>0</v>
      </c>
      <c r="HS20" s="1">
        <v>33124</v>
      </c>
      <c r="HT20" s="1">
        <v>33124</v>
      </c>
      <c r="HU20" s="1">
        <v>50816</v>
      </c>
      <c r="HV20" s="1">
        <v>1240311</v>
      </c>
      <c r="HW20" s="1">
        <v>758755</v>
      </c>
      <c r="HX20" s="1">
        <v>1998702</v>
      </c>
      <c r="HY20" s="1">
        <v>2757457</v>
      </c>
      <c r="HZ20" s="1">
        <v>3997768</v>
      </c>
      <c r="IA20" s="1">
        <v>558538</v>
      </c>
      <c r="IB20" s="1">
        <v>1034740</v>
      </c>
      <c r="IC20" s="1">
        <v>6039334</v>
      </c>
      <c r="ID20" s="1">
        <v>6039334</v>
      </c>
      <c r="IE20" s="1">
        <v>8796791</v>
      </c>
      <c r="IF20" s="1">
        <v>2562441</v>
      </c>
      <c r="IG20" s="1">
        <v>2520</v>
      </c>
      <c r="IJ20">
        <v>1</v>
      </c>
      <c r="IK20" s="3">
        <v>2.7199999999999998E-2</v>
      </c>
      <c r="IL20" s="3">
        <v>1.6000000000000001E-3</v>
      </c>
      <c r="IM20" s="3">
        <v>9.3899999999999997E-2</v>
      </c>
      <c r="IN20" s="3">
        <v>0</v>
      </c>
      <c r="IO20" s="3">
        <v>7.7299999999999994E-2</v>
      </c>
      <c r="IP20" s="3">
        <v>1E-4</v>
      </c>
      <c r="IQ20" s="3">
        <v>0.75860000000000005</v>
      </c>
      <c r="IR20" s="3">
        <v>6.2300000000000001E-2</v>
      </c>
      <c r="IS20" s="3">
        <v>0.42430000000000001</v>
      </c>
      <c r="IT20" s="1">
        <v>621158</v>
      </c>
      <c r="IU20" s="1">
        <v>348488</v>
      </c>
      <c r="IV20" s="1">
        <v>969646</v>
      </c>
      <c r="IW20" s="3">
        <v>0.91839999999999999</v>
      </c>
      <c r="IX20" s="1">
        <v>3374184</v>
      </c>
      <c r="IZ20" s="1">
        <v>3572</v>
      </c>
      <c r="JA20" s="1">
        <v>2986</v>
      </c>
      <c r="JB20" s="1">
        <v>15961</v>
      </c>
      <c r="JC20">
        <v>842</v>
      </c>
      <c r="JD20">
        <v>290</v>
      </c>
      <c r="JE20" s="1">
        <v>3922</v>
      </c>
      <c r="JF20" s="1">
        <v>4414</v>
      </c>
      <c r="JG20" s="1">
        <v>3276</v>
      </c>
      <c r="JH20" s="1">
        <v>19883</v>
      </c>
      <c r="JI20" s="1">
        <v>27573</v>
      </c>
      <c r="JJ20" s="1">
        <v>22519</v>
      </c>
      <c r="JK20" s="1">
        <v>5054</v>
      </c>
      <c r="JL20" s="1">
        <v>30567</v>
      </c>
      <c r="JM20" s="1">
        <v>24139</v>
      </c>
      <c r="JN20" s="1">
        <v>255871</v>
      </c>
      <c r="JO20" s="1">
        <v>17984</v>
      </c>
      <c r="JP20" s="1">
        <v>5440</v>
      </c>
      <c r="JQ20" s="1">
        <v>69327</v>
      </c>
      <c r="JR20" s="1">
        <v>48551</v>
      </c>
      <c r="JS20" s="1">
        <v>29579</v>
      </c>
      <c r="JT20" s="1">
        <v>325198</v>
      </c>
      <c r="JU20" s="1">
        <v>403328</v>
      </c>
      <c r="JV20" s="1">
        <v>310577</v>
      </c>
      <c r="JW20" s="1">
        <v>92751</v>
      </c>
      <c r="JX20">
        <v>14.63</v>
      </c>
      <c r="JY20">
        <v>11</v>
      </c>
      <c r="JZ20">
        <v>16.36</v>
      </c>
      <c r="KA20">
        <v>0.12</v>
      </c>
      <c r="KB20">
        <v>0.81</v>
      </c>
      <c r="KC20">
        <v>533</v>
      </c>
      <c r="KD20" s="1">
        <v>3060</v>
      </c>
      <c r="KE20" s="1">
        <v>2187</v>
      </c>
      <c r="KF20" s="1">
        <v>5078</v>
      </c>
      <c r="KG20" s="1">
        <v>10448</v>
      </c>
      <c r="KH20" s="1">
        <v>169810</v>
      </c>
      <c r="KI20">
        <v>530</v>
      </c>
      <c r="KJ20" s="1">
        <v>4589</v>
      </c>
      <c r="KK20" s="1">
        <v>3752</v>
      </c>
      <c r="KL20" s="1">
        <v>16248</v>
      </c>
      <c r="KM20" s="1">
        <v>1510083</v>
      </c>
      <c r="KN20" s="1">
        <v>201932</v>
      </c>
      <c r="KO20" s="1">
        <v>86038</v>
      </c>
      <c r="KS20" s="1">
        <v>3170</v>
      </c>
      <c r="KT20" s="1">
        <v>2245</v>
      </c>
      <c r="KU20">
        <v>497</v>
      </c>
      <c r="KV20">
        <v>846</v>
      </c>
      <c r="KW20" s="1">
        <v>671447</v>
      </c>
      <c r="KY20" s="1">
        <v>18182655</v>
      </c>
      <c r="KZ20" s="1">
        <v>859840</v>
      </c>
      <c r="LC20" t="s">
        <v>920</v>
      </c>
      <c r="LD20" t="s">
        <v>709</v>
      </c>
      <c r="LE20" t="s">
        <v>918</v>
      </c>
      <c r="LF20" t="s">
        <v>919</v>
      </c>
      <c r="LG20">
        <v>28202</v>
      </c>
      <c r="LH20">
        <v>2139</v>
      </c>
      <c r="LI20" t="s">
        <v>918</v>
      </c>
      <c r="LJ20" t="s">
        <v>919</v>
      </c>
      <c r="LK20">
        <v>28202</v>
      </c>
      <c r="LL20">
        <v>2139</v>
      </c>
      <c r="LM20" t="s">
        <v>921</v>
      </c>
      <c r="LN20">
        <v>7044160600</v>
      </c>
      <c r="LO20">
        <v>7044160677</v>
      </c>
      <c r="LP20" s="1">
        <v>526427</v>
      </c>
      <c r="LQ20">
        <v>418.45</v>
      </c>
      <c r="LS20" s="1">
        <v>61912</v>
      </c>
      <c r="LT20" s="1">
        <v>1040</v>
      </c>
      <c r="LW20">
        <v>2</v>
      </c>
      <c r="LX20" t="s">
        <v>931</v>
      </c>
      <c r="LY20">
        <v>0</v>
      </c>
      <c r="LZ20" t="s">
        <v>691</v>
      </c>
      <c r="MA20">
        <v>250</v>
      </c>
      <c r="MB20">
        <v>250</v>
      </c>
    </row>
    <row r="21" spans="1:340" x14ac:dyDescent="0.25">
      <c r="A21" t="s">
        <v>932</v>
      </c>
      <c r="B21">
        <v>0</v>
      </c>
      <c r="C21">
        <v>1375</v>
      </c>
      <c r="D21">
        <v>2017</v>
      </c>
      <c r="E21">
        <v>0</v>
      </c>
      <c r="F21" t="s">
        <v>932</v>
      </c>
      <c r="G21" t="s">
        <v>933</v>
      </c>
      <c r="H21" t="s">
        <v>668</v>
      </c>
      <c r="I21" t="s">
        <v>669</v>
      </c>
      <c r="J21" t="s">
        <v>670</v>
      </c>
      <c r="K21" t="s">
        <v>671</v>
      </c>
      <c r="L21" t="s">
        <v>672</v>
      </c>
      <c r="M21" t="s">
        <v>673</v>
      </c>
      <c r="N21" s="1">
        <v>71815</v>
      </c>
      <c r="O21" t="s">
        <v>674</v>
      </c>
      <c r="P21">
        <v>677</v>
      </c>
      <c r="Q21">
        <v>163</v>
      </c>
      <c r="R21">
        <v>144</v>
      </c>
      <c r="S21">
        <v>5</v>
      </c>
      <c r="T21" s="1">
        <v>4564</v>
      </c>
      <c r="U21">
        <v>141</v>
      </c>
      <c r="V21" s="1">
        <v>27678</v>
      </c>
      <c r="W21" s="1">
        <v>2693</v>
      </c>
      <c r="X21" s="1">
        <v>484710</v>
      </c>
      <c r="Y21" s="1">
        <v>108540</v>
      </c>
      <c r="Z21" t="s">
        <v>934</v>
      </c>
      <c r="AA21" t="s">
        <v>935</v>
      </c>
      <c r="AB21">
        <v>27312</v>
      </c>
      <c r="AC21">
        <v>9471</v>
      </c>
      <c r="AD21" t="s">
        <v>934</v>
      </c>
      <c r="AE21" t="s">
        <v>935</v>
      </c>
      <c r="AF21">
        <v>27312</v>
      </c>
      <c r="AG21">
        <v>3</v>
      </c>
      <c r="AH21" t="s">
        <v>936</v>
      </c>
      <c r="AJ21" t="s">
        <v>35</v>
      </c>
      <c r="AK21" t="s">
        <v>937</v>
      </c>
      <c r="AL21" t="s">
        <v>938</v>
      </c>
      <c r="AM21" t="s">
        <v>939</v>
      </c>
      <c r="AN21" t="s">
        <v>940</v>
      </c>
      <c r="AO21" t="s">
        <v>941</v>
      </c>
      <c r="AP21" t="s">
        <v>938</v>
      </c>
      <c r="AQ21" t="s">
        <v>36</v>
      </c>
      <c r="AR21" t="s">
        <v>939</v>
      </c>
      <c r="AS21" t="s">
        <v>940</v>
      </c>
      <c r="AT21" t="s">
        <v>941</v>
      </c>
      <c r="AU21" t="s">
        <v>942</v>
      </c>
      <c r="BC21">
        <v>1</v>
      </c>
      <c r="BD21">
        <v>2</v>
      </c>
      <c r="BE21">
        <v>0</v>
      </c>
      <c r="BF21">
        <v>0</v>
      </c>
      <c r="BG21">
        <v>3</v>
      </c>
      <c r="BI21" s="1">
        <v>7100</v>
      </c>
      <c r="BJ21">
        <v>4</v>
      </c>
      <c r="BK21">
        <v>0</v>
      </c>
      <c r="BL21">
        <v>4</v>
      </c>
      <c r="BM21">
        <v>13.5</v>
      </c>
      <c r="BN21">
        <v>17.5</v>
      </c>
      <c r="BO21" s="3">
        <v>0.2286</v>
      </c>
      <c r="BP21">
        <v>0</v>
      </c>
      <c r="BQ21" s="4">
        <v>78671</v>
      </c>
      <c r="BT21">
        <v>0</v>
      </c>
      <c r="BU21" s="4">
        <v>47291</v>
      </c>
      <c r="BV21" s="4">
        <v>73301</v>
      </c>
      <c r="BW21" s="4">
        <v>60296</v>
      </c>
      <c r="BY21" s="4">
        <v>42894</v>
      </c>
      <c r="BZ21" s="4">
        <v>66485</v>
      </c>
      <c r="CA21" s="4">
        <v>54690</v>
      </c>
      <c r="CC21" s="4">
        <v>0</v>
      </c>
      <c r="CD21" s="4">
        <v>0</v>
      </c>
      <c r="CE21">
        <v>0</v>
      </c>
      <c r="CG21" s="4">
        <v>0</v>
      </c>
      <c r="CH21" s="4">
        <v>0</v>
      </c>
      <c r="CI21" s="4">
        <v>0</v>
      </c>
      <c r="CK21" s="4">
        <v>0</v>
      </c>
      <c r="CL21" s="4">
        <v>0</v>
      </c>
      <c r="CM21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V21" s="4">
        <v>42894</v>
      </c>
      <c r="CW21" s="4">
        <v>66485</v>
      </c>
      <c r="CX21" s="4">
        <v>54690</v>
      </c>
      <c r="CZ21" s="4">
        <v>0</v>
      </c>
      <c r="DA21" s="4">
        <v>0</v>
      </c>
      <c r="DB21" s="4">
        <v>0</v>
      </c>
      <c r="DD21" s="4">
        <v>0</v>
      </c>
      <c r="DE21" s="4">
        <v>0</v>
      </c>
      <c r="DF21" s="4">
        <v>0</v>
      </c>
      <c r="DH21" s="4">
        <v>0</v>
      </c>
      <c r="DI21" s="4">
        <v>0</v>
      </c>
      <c r="DJ21" s="4">
        <v>0</v>
      </c>
      <c r="DK21" s="4">
        <v>37053</v>
      </c>
      <c r="DL21" s="4">
        <v>63318</v>
      </c>
      <c r="DM21" s="4">
        <v>50186</v>
      </c>
      <c r="DO21" s="4">
        <v>26332</v>
      </c>
      <c r="DP21" s="4">
        <v>52094</v>
      </c>
      <c r="DQ21" s="4">
        <v>39213</v>
      </c>
      <c r="DS21" s="4">
        <v>0</v>
      </c>
      <c r="DT21" s="4">
        <v>0</v>
      </c>
      <c r="DU21" s="4">
        <v>0</v>
      </c>
      <c r="DV21" s="4">
        <v>0</v>
      </c>
      <c r="DW21" s="4">
        <v>1905135</v>
      </c>
      <c r="DX21" s="4">
        <v>1905135</v>
      </c>
      <c r="DY21" s="4">
        <v>101990</v>
      </c>
      <c r="DZ21" s="4">
        <v>0</v>
      </c>
      <c r="EA21" s="4">
        <v>101990</v>
      </c>
      <c r="EB21" s="4">
        <v>0</v>
      </c>
      <c r="EC21" s="4">
        <v>0</v>
      </c>
      <c r="ED21" s="4">
        <v>0</v>
      </c>
      <c r="EE21" s="4">
        <v>166703</v>
      </c>
      <c r="EF21" s="4">
        <v>2173828</v>
      </c>
      <c r="EG21" s="4">
        <v>681233</v>
      </c>
      <c r="EH21" s="4">
        <v>283192</v>
      </c>
      <c r="EI21" s="4">
        <v>964425</v>
      </c>
      <c r="EJ21" s="4">
        <v>109007</v>
      </c>
      <c r="EK21" s="4">
        <v>33187</v>
      </c>
      <c r="EL21" s="4">
        <v>18305</v>
      </c>
      <c r="EM21" s="4">
        <v>160499</v>
      </c>
      <c r="EN21" s="4">
        <v>829544</v>
      </c>
      <c r="EO21" s="4">
        <v>1954468</v>
      </c>
      <c r="EP21" s="4">
        <v>219360</v>
      </c>
      <c r="EQ21" s="3">
        <v>0.1009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1">
        <v>16454</v>
      </c>
      <c r="EY21" s="1">
        <v>178278</v>
      </c>
      <c r="EZ21" s="1">
        <v>28116</v>
      </c>
      <c r="FA21" s="1">
        <v>4178</v>
      </c>
      <c r="FB21" s="1">
        <v>10492</v>
      </c>
      <c r="FC21" s="1">
        <v>26471</v>
      </c>
      <c r="FD21">
        <v>977</v>
      </c>
      <c r="FE21" s="1">
        <v>9855</v>
      </c>
      <c r="FF21" s="1">
        <v>54587</v>
      </c>
      <c r="FG21" s="1">
        <v>5155</v>
      </c>
      <c r="FH21" s="1">
        <v>20347</v>
      </c>
      <c r="FI21" s="1">
        <v>80089</v>
      </c>
      <c r="FJ21">
        <v>81</v>
      </c>
      <c r="FK21">
        <v>265</v>
      </c>
      <c r="FM21" s="1">
        <v>80089</v>
      </c>
      <c r="FN21" s="1">
        <v>4905</v>
      </c>
      <c r="FO21" s="1">
        <v>6297</v>
      </c>
      <c r="FP21">
        <v>0</v>
      </c>
      <c r="FQ21">
        <v>8</v>
      </c>
      <c r="FR21">
        <v>88</v>
      </c>
      <c r="FS21">
        <v>96</v>
      </c>
      <c r="FT21" s="1">
        <v>44141</v>
      </c>
      <c r="FU21" s="1">
        <v>3505</v>
      </c>
      <c r="FV21">
        <v>0</v>
      </c>
      <c r="FW21">
        <v>0</v>
      </c>
      <c r="FX21" s="1">
        <v>8544</v>
      </c>
      <c r="FY21" s="1">
        <v>1573</v>
      </c>
      <c r="FZ21">
        <v>322</v>
      </c>
      <c r="GA21">
        <v>0</v>
      </c>
      <c r="GB21" s="1">
        <v>26436</v>
      </c>
      <c r="GC21" s="1">
        <v>1747</v>
      </c>
      <c r="GD21">
        <v>278</v>
      </c>
      <c r="GE21">
        <v>-1</v>
      </c>
      <c r="GJ21">
        <v>0</v>
      </c>
      <c r="GK21">
        <v>0</v>
      </c>
      <c r="GL21">
        <v>0</v>
      </c>
      <c r="GM21">
        <v>0</v>
      </c>
      <c r="GN21" s="1">
        <v>79121</v>
      </c>
      <c r="GO21" s="1">
        <v>6825</v>
      </c>
      <c r="GP21">
        <v>600</v>
      </c>
      <c r="GQ21">
        <v>-1</v>
      </c>
      <c r="GR21">
        <v>10</v>
      </c>
      <c r="GT21" s="1">
        <v>59169</v>
      </c>
      <c r="GU21" s="1">
        <v>7982</v>
      </c>
      <c r="GV21" s="1">
        <v>72430</v>
      </c>
      <c r="GW21" s="1">
        <v>24748</v>
      </c>
      <c r="GX21">
        <v>47</v>
      </c>
      <c r="GY21" s="1">
        <v>15743</v>
      </c>
      <c r="GZ21" s="1">
        <v>83917</v>
      </c>
      <c r="HA21" s="1">
        <v>8029</v>
      </c>
      <c r="HB21" s="1">
        <v>88173</v>
      </c>
      <c r="HC21" s="1">
        <v>180119</v>
      </c>
      <c r="HD21" s="1">
        <v>2849</v>
      </c>
      <c r="HE21" s="1">
        <v>182968</v>
      </c>
      <c r="HF21" s="1">
        <v>10714</v>
      </c>
      <c r="HG21" s="1">
        <v>34319</v>
      </c>
      <c r="HH21">
        <v>0</v>
      </c>
      <c r="HI21">
        <v>0</v>
      </c>
      <c r="HJ21" s="1">
        <v>45033</v>
      </c>
      <c r="HK21" s="1">
        <v>228001</v>
      </c>
      <c r="HL21">
        <v>137</v>
      </c>
      <c r="HM21" s="1">
        <v>32535</v>
      </c>
      <c r="HN21" s="1">
        <v>32672</v>
      </c>
      <c r="HO21">
        <v>538</v>
      </c>
      <c r="HP21" s="1">
        <v>5654</v>
      </c>
      <c r="HQ21" s="1">
        <v>6192</v>
      </c>
      <c r="HR21">
        <v>0</v>
      </c>
      <c r="HS21">
        <v>59</v>
      </c>
      <c r="HT21">
        <v>59</v>
      </c>
      <c r="HU21" s="1">
        <v>1395</v>
      </c>
      <c r="HV21" s="1">
        <v>40318</v>
      </c>
      <c r="HW21" s="1">
        <v>11595</v>
      </c>
      <c r="HX21">
        <v>0</v>
      </c>
      <c r="HY21" s="1">
        <v>11595</v>
      </c>
      <c r="HZ21" s="1">
        <v>51913</v>
      </c>
      <c r="IA21" s="1">
        <v>16906</v>
      </c>
      <c r="IB21" s="1">
        <v>51284</v>
      </c>
      <c r="IC21" s="1">
        <v>268319</v>
      </c>
      <c r="ID21" s="1">
        <v>268319</v>
      </c>
      <c r="IE21" s="1">
        <v>279914</v>
      </c>
      <c r="IF21" s="1">
        <v>96155</v>
      </c>
      <c r="IG21">
        <v>16</v>
      </c>
      <c r="IJ21">
        <v>1</v>
      </c>
      <c r="IK21" s="3">
        <v>3.8699999999999998E-2</v>
      </c>
      <c r="IL21" s="3">
        <v>1.5E-3</v>
      </c>
      <c r="IM21" s="3">
        <v>0.4854</v>
      </c>
      <c r="IN21" s="3">
        <v>0</v>
      </c>
      <c r="IO21" s="3">
        <v>0.44379999999999997</v>
      </c>
      <c r="IP21" s="3">
        <v>5.0000000000000001E-4</v>
      </c>
      <c r="IQ21" s="3">
        <v>0.44919999999999999</v>
      </c>
      <c r="IR21" s="3">
        <v>6.5799999999999997E-2</v>
      </c>
      <c r="IS21" s="3">
        <v>0.3584</v>
      </c>
      <c r="IT21" s="1">
        <v>31206</v>
      </c>
      <c r="IU21" s="1">
        <v>3812</v>
      </c>
      <c r="IV21" s="1">
        <v>35018</v>
      </c>
      <c r="IW21" s="3">
        <v>0.48759999999999998</v>
      </c>
      <c r="IX21" s="1">
        <v>181494</v>
      </c>
      <c r="IZ21">
        <v>237</v>
      </c>
      <c r="JA21">
        <v>17</v>
      </c>
      <c r="JB21">
        <v>517</v>
      </c>
      <c r="JC21">
        <v>32</v>
      </c>
      <c r="JD21">
        <v>2</v>
      </c>
      <c r="JE21">
        <v>77</v>
      </c>
      <c r="JF21">
        <v>269</v>
      </c>
      <c r="JG21">
        <v>19</v>
      </c>
      <c r="JH21">
        <v>594</v>
      </c>
      <c r="JI21">
        <v>882</v>
      </c>
      <c r="JJ21">
        <v>771</v>
      </c>
      <c r="JK21">
        <v>111</v>
      </c>
      <c r="JL21" s="1">
        <v>2512</v>
      </c>
      <c r="JM21">
        <v>573</v>
      </c>
      <c r="JN21" s="1">
        <v>15765</v>
      </c>
      <c r="JO21">
        <v>303</v>
      </c>
      <c r="JP21">
        <v>0</v>
      </c>
      <c r="JQ21" s="1">
        <v>6110</v>
      </c>
      <c r="JR21" s="1">
        <v>2815</v>
      </c>
      <c r="JS21">
        <v>573</v>
      </c>
      <c r="JT21" s="1">
        <v>21875</v>
      </c>
      <c r="JU21" s="1">
        <v>25263</v>
      </c>
      <c r="JV21" s="1">
        <v>18850</v>
      </c>
      <c r="JW21" s="1">
        <v>6413</v>
      </c>
      <c r="JX21">
        <v>28.64</v>
      </c>
      <c r="JY21">
        <v>10.46</v>
      </c>
      <c r="JZ21">
        <v>36.83</v>
      </c>
      <c r="KA21">
        <v>0.11</v>
      </c>
      <c r="KB21">
        <v>0.87</v>
      </c>
      <c r="KC21">
        <v>1</v>
      </c>
      <c r="KD21">
        <v>4</v>
      </c>
      <c r="KE21">
        <v>38</v>
      </c>
      <c r="KF21">
        <v>255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 s="1">
        <v>26634</v>
      </c>
      <c r="KN21" s="1">
        <v>21258</v>
      </c>
      <c r="KO21" s="1">
        <v>1003</v>
      </c>
      <c r="KQ21">
        <v>273</v>
      </c>
      <c r="KR21" s="1">
        <v>3725</v>
      </c>
      <c r="KS21">
        <v>0</v>
      </c>
      <c r="KT21">
        <v>330</v>
      </c>
      <c r="KU21">
        <v>24</v>
      </c>
      <c r="KV21">
        <v>57</v>
      </c>
      <c r="KW21" s="1">
        <v>29435</v>
      </c>
      <c r="LC21" t="s">
        <v>943</v>
      </c>
      <c r="LD21" t="s">
        <v>689</v>
      </c>
      <c r="LE21" t="s">
        <v>944</v>
      </c>
      <c r="LF21" t="s">
        <v>945</v>
      </c>
      <c r="LG21">
        <v>27344</v>
      </c>
      <c r="LH21">
        <v>3123</v>
      </c>
      <c r="LI21" t="s">
        <v>944</v>
      </c>
      <c r="LJ21" t="s">
        <v>945</v>
      </c>
      <c r="LK21">
        <v>27344</v>
      </c>
      <c r="LL21">
        <v>3123</v>
      </c>
      <c r="LM21" t="s">
        <v>937</v>
      </c>
      <c r="LN21">
        <v>9197422016</v>
      </c>
      <c r="LP21" s="1">
        <v>35000</v>
      </c>
      <c r="LQ21">
        <v>11.75</v>
      </c>
      <c r="LS21" s="1">
        <v>7100</v>
      </c>
      <c r="LT21">
        <v>156</v>
      </c>
      <c r="LW21">
        <v>4</v>
      </c>
      <c r="LX21" t="s">
        <v>946</v>
      </c>
      <c r="LY21">
        <v>0</v>
      </c>
      <c r="LZ21" t="s">
        <v>738</v>
      </c>
      <c r="MA21">
        <v>1.6</v>
      </c>
      <c r="MB21">
        <v>15</v>
      </c>
    </row>
    <row r="22" spans="1:340" x14ac:dyDescent="0.25">
      <c r="A22" t="s">
        <v>947</v>
      </c>
      <c r="B22">
        <v>0</v>
      </c>
      <c r="C22">
        <v>1375</v>
      </c>
      <c r="D22">
        <v>2017</v>
      </c>
      <c r="E22">
        <v>0</v>
      </c>
      <c r="F22" t="s">
        <v>947</v>
      </c>
      <c r="G22" t="s">
        <v>948</v>
      </c>
      <c r="H22" t="s">
        <v>668</v>
      </c>
      <c r="I22" t="s">
        <v>669</v>
      </c>
      <c r="J22" t="s">
        <v>670</v>
      </c>
      <c r="K22" t="s">
        <v>671</v>
      </c>
      <c r="L22" t="s">
        <v>791</v>
      </c>
      <c r="M22" t="s">
        <v>673</v>
      </c>
      <c r="N22" s="1">
        <v>88272</v>
      </c>
      <c r="O22" t="s">
        <v>674</v>
      </c>
      <c r="P22">
        <v>698</v>
      </c>
      <c r="Q22">
        <v>15</v>
      </c>
      <c r="R22">
        <v>26</v>
      </c>
      <c r="S22">
        <v>7</v>
      </c>
      <c r="T22" s="1">
        <v>1202</v>
      </c>
      <c r="U22">
        <v>42</v>
      </c>
      <c r="V22" s="1">
        <v>16791</v>
      </c>
      <c r="W22" s="1">
        <v>1777</v>
      </c>
      <c r="X22" s="1">
        <v>10126124</v>
      </c>
      <c r="Y22" s="1">
        <v>19170</v>
      </c>
      <c r="Z22" t="s">
        <v>949</v>
      </c>
      <c r="AA22" t="s">
        <v>950</v>
      </c>
      <c r="AB22">
        <v>28151</v>
      </c>
      <c r="AC22">
        <v>1120</v>
      </c>
      <c r="AD22" t="s">
        <v>951</v>
      </c>
      <c r="AE22" t="s">
        <v>950</v>
      </c>
      <c r="AF22">
        <v>28150</v>
      </c>
      <c r="AG22">
        <v>2</v>
      </c>
      <c r="AH22" t="s">
        <v>952</v>
      </c>
      <c r="AJ22" t="s">
        <v>35</v>
      </c>
      <c r="AK22" t="s">
        <v>953</v>
      </c>
      <c r="AL22" t="s">
        <v>954</v>
      </c>
      <c r="AM22" t="s">
        <v>955</v>
      </c>
      <c r="AN22" t="s">
        <v>956</v>
      </c>
      <c r="AO22" t="s">
        <v>957</v>
      </c>
      <c r="AP22" t="s">
        <v>958</v>
      </c>
      <c r="AQ22" t="s">
        <v>706</v>
      </c>
      <c r="AR22" t="s">
        <v>955</v>
      </c>
      <c r="AS22" t="s">
        <v>956</v>
      </c>
      <c r="AT22" t="s">
        <v>957</v>
      </c>
      <c r="AU22" t="s">
        <v>959</v>
      </c>
      <c r="BC22">
        <v>1</v>
      </c>
      <c r="BD22">
        <v>1</v>
      </c>
      <c r="BE22">
        <v>0</v>
      </c>
      <c r="BF22">
        <v>1</v>
      </c>
      <c r="BG22">
        <v>3</v>
      </c>
      <c r="BI22" s="1">
        <v>3597</v>
      </c>
      <c r="BJ22">
        <v>3</v>
      </c>
      <c r="BK22">
        <v>0</v>
      </c>
      <c r="BL22">
        <v>3</v>
      </c>
      <c r="BM22">
        <v>15.25</v>
      </c>
      <c r="BN22">
        <v>18.25</v>
      </c>
      <c r="BO22" s="3">
        <v>0.16439999999999999</v>
      </c>
      <c r="BP22" s="1">
        <v>1516</v>
      </c>
      <c r="BQ22" s="4">
        <v>69401</v>
      </c>
      <c r="BT22" s="1">
        <v>53646</v>
      </c>
      <c r="BU22" s="4">
        <v>32052</v>
      </c>
      <c r="BV22" s="4">
        <v>32052</v>
      </c>
      <c r="BW22" s="4">
        <v>32052</v>
      </c>
      <c r="CG22" s="4">
        <v>36900</v>
      </c>
      <c r="CH22" s="4">
        <v>36900</v>
      </c>
      <c r="CI22" s="4">
        <v>36900</v>
      </c>
      <c r="CK22" s="4">
        <v>32052</v>
      </c>
      <c r="CL22" s="4">
        <v>32052</v>
      </c>
      <c r="CM22" s="1">
        <v>32052</v>
      </c>
      <c r="CO22" s="4">
        <v>38646</v>
      </c>
      <c r="CP22" s="4">
        <v>38646</v>
      </c>
      <c r="CQ22" s="4">
        <v>38646</v>
      </c>
      <c r="DK22" s="4">
        <v>27882</v>
      </c>
      <c r="DL22" s="4">
        <v>27882</v>
      </c>
      <c r="DM22" s="4">
        <v>27882</v>
      </c>
      <c r="DO22" s="4">
        <v>28554</v>
      </c>
      <c r="DP22" s="4">
        <v>28554</v>
      </c>
      <c r="DQ22" s="4">
        <v>28554</v>
      </c>
      <c r="DV22" s="4">
        <v>0</v>
      </c>
      <c r="DW22" s="4">
        <v>837432</v>
      </c>
      <c r="DX22" s="4">
        <v>837432</v>
      </c>
      <c r="DY22" s="4">
        <v>138260</v>
      </c>
      <c r="DZ22" s="4">
        <v>0</v>
      </c>
      <c r="EA22" s="4">
        <v>138260</v>
      </c>
      <c r="EB22" s="4">
        <v>5313</v>
      </c>
      <c r="EC22" s="4">
        <v>0</v>
      </c>
      <c r="ED22" s="4">
        <v>5313</v>
      </c>
      <c r="EE22" s="4">
        <v>80604</v>
      </c>
      <c r="EF22" s="4">
        <v>1061609</v>
      </c>
      <c r="EG22" s="4">
        <v>558114</v>
      </c>
      <c r="EH22" s="4">
        <v>231904</v>
      </c>
      <c r="EI22" s="4">
        <v>790018</v>
      </c>
      <c r="EJ22" s="4">
        <v>76989</v>
      </c>
      <c r="EK22" s="4">
        <v>8111</v>
      </c>
      <c r="EL22" s="4">
        <v>4490</v>
      </c>
      <c r="EM22" s="4">
        <v>89590</v>
      </c>
      <c r="EN22" s="4">
        <v>182001</v>
      </c>
      <c r="EO22" s="4">
        <v>1061609</v>
      </c>
      <c r="EP22" s="4">
        <v>0</v>
      </c>
      <c r="EQ22" s="3">
        <v>0</v>
      </c>
      <c r="ER22" s="4">
        <v>10150</v>
      </c>
      <c r="ES22" s="4">
        <v>0</v>
      </c>
      <c r="ET22" s="4">
        <v>0</v>
      </c>
      <c r="EU22" s="4">
        <v>0</v>
      </c>
      <c r="EV22" s="4">
        <v>10150</v>
      </c>
      <c r="EW22" s="4">
        <v>10150</v>
      </c>
      <c r="EX22" s="1">
        <v>10489</v>
      </c>
      <c r="EY22" s="1">
        <v>195588</v>
      </c>
      <c r="EZ22" s="1">
        <v>30088</v>
      </c>
      <c r="FA22" s="1">
        <v>3554</v>
      </c>
      <c r="FB22" s="1">
        <v>24551</v>
      </c>
      <c r="FC22" s="1">
        <v>28360</v>
      </c>
      <c r="FD22">
        <v>26</v>
      </c>
      <c r="FE22" s="1">
        <v>9262</v>
      </c>
      <c r="FF22" s="1">
        <v>58448</v>
      </c>
      <c r="FG22" s="1">
        <v>3580</v>
      </c>
      <c r="FH22" s="1">
        <v>33813</v>
      </c>
      <c r="FI22" s="1">
        <v>95841</v>
      </c>
      <c r="FJ22" s="1">
        <v>5812</v>
      </c>
      <c r="FK22">
        <v>88</v>
      </c>
      <c r="FM22" s="1">
        <v>95841</v>
      </c>
      <c r="FN22" s="1">
        <v>1785</v>
      </c>
      <c r="FO22" s="1">
        <v>3452</v>
      </c>
      <c r="FP22" s="1">
        <v>1974</v>
      </c>
      <c r="FQ22">
        <v>2</v>
      </c>
      <c r="FR22">
        <v>88</v>
      </c>
      <c r="FS22">
        <v>90</v>
      </c>
      <c r="FT22" s="1">
        <v>44141</v>
      </c>
      <c r="FU22" s="1">
        <v>3505</v>
      </c>
      <c r="FV22">
        <v>0</v>
      </c>
      <c r="FW22">
        <v>0</v>
      </c>
      <c r="FX22" s="1">
        <v>8544</v>
      </c>
      <c r="FY22" s="1">
        <v>1573</v>
      </c>
      <c r="FZ22">
        <v>322</v>
      </c>
      <c r="GA22">
        <v>0</v>
      </c>
      <c r="GB22" s="1">
        <v>26436</v>
      </c>
      <c r="GC22" s="1">
        <v>1747</v>
      </c>
      <c r="GD22">
        <v>278</v>
      </c>
      <c r="GJ22">
        <v>0</v>
      </c>
      <c r="GK22">
        <v>0</v>
      </c>
      <c r="GL22">
        <v>0</v>
      </c>
      <c r="GM22">
        <v>0</v>
      </c>
      <c r="GN22" s="1">
        <v>79121</v>
      </c>
      <c r="GO22" s="1">
        <v>6825</v>
      </c>
      <c r="GP22">
        <v>600</v>
      </c>
      <c r="GQ22">
        <v>0</v>
      </c>
      <c r="GR22">
        <v>28</v>
      </c>
      <c r="GT22" s="1">
        <v>59676</v>
      </c>
      <c r="GU22" s="1">
        <v>4814</v>
      </c>
      <c r="GV22" s="1">
        <v>39228</v>
      </c>
      <c r="GW22" s="1">
        <v>15937</v>
      </c>
      <c r="GX22">
        <v>72</v>
      </c>
      <c r="GY22" s="1">
        <v>7639</v>
      </c>
      <c r="GZ22" s="1">
        <v>75613</v>
      </c>
      <c r="HA22" s="1">
        <v>4886</v>
      </c>
      <c r="HB22" s="1">
        <v>46867</v>
      </c>
      <c r="HC22" s="1">
        <v>127366</v>
      </c>
      <c r="HD22">
        <v>4</v>
      </c>
      <c r="HE22" s="1">
        <v>134147</v>
      </c>
      <c r="HF22" s="1">
        <v>4913</v>
      </c>
      <c r="HG22" s="1">
        <v>17080</v>
      </c>
      <c r="HH22" s="1">
        <v>6777</v>
      </c>
      <c r="HI22" s="1">
        <v>5330</v>
      </c>
      <c r="HJ22" s="1">
        <v>27323</v>
      </c>
      <c r="HK22" s="1">
        <v>161470</v>
      </c>
      <c r="HL22">
        <v>49</v>
      </c>
      <c r="HM22" s="1">
        <v>12157</v>
      </c>
      <c r="HN22" s="1">
        <v>12206</v>
      </c>
      <c r="HO22">
        <v>157</v>
      </c>
      <c r="HP22" s="1">
        <v>2473</v>
      </c>
      <c r="HQ22" s="1">
        <v>2630</v>
      </c>
      <c r="HR22">
        <v>0</v>
      </c>
      <c r="HS22">
        <v>56</v>
      </c>
      <c r="HT22">
        <v>56</v>
      </c>
      <c r="HU22">
        <v>431</v>
      </c>
      <c r="HV22" s="1">
        <v>15323</v>
      </c>
      <c r="HW22" s="1">
        <v>10433</v>
      </c>
      <c r="HX22" s="1">
        <v>4890</v>
      </c>
      <c r="HY22" s="1">
        <v>15323</v>
      </c>
      <c r="HZ22" s="1">
        <v>30646</v>
      </c>
      <c r="IA22" s="1">
        <v>7543</v>
      </c>
      <c r="IB22" s="1">
        <v>24679</v>
      </c>
      <c r="IC22" s="1">
        <v>176793</v>
      </c>
      <c r="ID22" s="1">
        <v>176793</v>
      </c>
      <c r="IE22" s="1">
        <v>192116</v>
      </c>
      <c r="IF22" s="1">
        <v>51982</v>
      </c>
      <c r="IG22">
        <v>0</v>
      </c>
      <c r="IJ22">
        <v>3</v>
      </c>
      <c r="IK22" s="3">
        <v>2.07E-2</v>
      </c>
      <c r="IL22" s="3">
        <v>4.0000000000000002E-4</v>
      </c>
      <c r="IM22" s="3">
        <v>0.4425</v>
      </c>
      <c r="IN22" s="3">
        <v>0</v>
      </c>
      <c r="IO22" s="3">
        <v>0.40450000000000003</v>
      </c>
      <c r="IP22" s="3">
        <v>5.0000000000000001E-4</v>
      </c>
      <c r="IQ22" s="3">
        <v>0.49</v>
      </c>
      <c r="IR22" s="3">
        <v>4.3999999999999997E-2</v>
      </c>
      <c r="IS22" s="3">
        <v>0.29399999999999998</v>
      </c>
      <c r="IT22" s="1">
        <v>26475</v>
      </c>
      <c r="IU22">
        <v>152</v>
      </c>
      <c r="IV22" s="1">
        <v>26627</v>
      </c>
      <c r="IW22" s="3">
        <v>0.30159999999999998</v>
      </c>
      <c r="IX22" s="1">
        <v>169303</v>
      </c>
      <c r="IZ22">
        <v>58</v>
      </c>
      <c r="JA22">
        <v>10</v>
      </c>
      <c r="JB22">
        <v>117</v>
      </c>
      <c r="JC22">
        <v>73</v>
      </c>
      <c r="JD22">
        <v>0</v>
      </c>
      <c r="JE22">
        <v>276</v>
      </c>
      <c r="JF22">
        <v>131</v>
      </c>
      <c r="JG22">
        <v>10</v>
      </c>
      <c r="JH22">
        <v>393</v>
      </c>
      <c r="JI22">
        <v>534</v>
      </c>
      <c r="JJ22">
        <v>185</v>
      </c>
      <c r="JK22">
        <v>349</v>
      </c>
      <c r="JL22">
        <v>695</v>
      </c>
      <c r="JM22">
        <v>158</v>
      </c>
      <c r="JN22" s="1">
        <v>4772</v>
      </c>
      <c r="JO22">
        <v>940</v>
      </c>
      <c r="JP22">
        <v>0</v>
      </c>
      <c r="JQ22" s="1">
        <v>5515</v>
      </c>
      <c r="JR22" s="1">
        <v>1635</v>
      </c>
      <c r="JS22">
        <v>158</v>
      </c>
      <c r="JT22" s="1">
        <v>10287</v>
      </c>
      <c r="JU22" s="1">
        <v>12080</v>
      </c>
      <c r="JV22" s="1">
        <v>5625</v>
      </c>
      <c r="JW22" s="1">
        <v>6455</v>
      </c>
      <c r="JX22">
        <v>22.62</v>
      </c>
      <c r="JY22">
        <v>12.48</v>
      </c>
      <c r="JZ22">
        <v>26.18</v>
      </c>
      <c r="KA22">
        <v>0.14000000000000001</v>
      </c>
      <c r="KB22">
        <v>0.85</v>
      </c>
      <c r="KC22">
        <v>32</v>
      </c>
      <c r="KD22">
        <v>123</v>
      </c>
      <c r="KE22">
        <v>2</v>
      </c>
      <c r="KF22">
        <v>7</v>
      </c>
      <c r="KM22" s="1">
        <v>48931</v>
      </c>
      <c r="KN22" s="1">
        <v>35002</v>
      </c>
      <c r="KO22" s="1">
        <v>12680</v>
      </c>
      <c r="KQ22">
        <v>683</v>
      </c>
      <c r="KR22" s="1">
        <v>7481</v>
      </c>
      <c r="KS22" s="1">
        <v>14558</v>
      </c>
      <c r="KT22" s="1">
        <v>14614</v>
      </c>
      <c r="KU22">
        <v>23</v>
      </c>
      <c r="KV22">
        <v>32</v>
      </c>
      <c r="KW22" s="1">
        <v>26820</v>
      </c>
      <c r="KY22" s="1">
        <v>121856</v>
      </c>
      <c r="LC22" t="s">
        <v>952</v>
      </c>
      <c r="LD22" t="s">
        <v>709</v>
      </c>
      <c r="LE22" t="s">
        <v>949</v>
      </c>
      <c r="LF22" t="s">
        <v>950</v>
      </c>
      <c r="LG22">
        <v>28151</v>
      </c>
      <c r="LH22">
        <v>1120</v>
      </c>
      <c r="LI22" t="s">
        <v>951</v>
      </c>
      <c r="LJ22" t="s">
        <v>950</v>
      </c>
      <c r="LK22">
        <v>28150</v>
      </c>
      <c r="LL22">
        <v>5036</v>
      </c>
      <c r="LM22" t="s">
        <v>953</v>
      </c>
      <c r="LN22">
        <v>7044879069</v>
      </c>
      <c r="LO22">
        <v>7044874856</v>
      </c>
      <c r="LP22" s="1">
        <v>29000</v>
      </c>
      <c r="LQ22">
        <v>18.25</v>
      </c>
      <c r="LS22" s="1">
        <v>3597</v>
      </c>
      <c r="LT22">
        <v>104</v>
      </c>
      <c r="LW22">
        <v>2</v>
      </c>
      <c r="LX22" t="s">
        <v>960</v>
      </c>
      <c r="LY22">
        <v>0</v>
      </c>
      <c r="LZ22" t="s">
        <v>691</v>
      </c>
      <c r="MA22">
        <v>50</v>
      </c>
      <c r="MB22">
        <v>50</v>
      </c>
    </row>
    <row r="23" spans="1:340" x14ac:dyDescent="0.25">
      <c r="A23" t="s">
        <v>961</v>
      </c>
      <c r="B23">
        <v>0</v>
      </c>
      <c r="C23">
        <v>1375</v>
      </c>
      <c r="D23">
        <v>2017</v>
      </c>
      <c r="E23">
        <v>0</v>
      </c>
      <c r="F23" t="s">
        <v>961</v>
      </c>
      <c r="G23" t="s">
        <v>962</v>
      </c>
      <c r="H23" t="s">
        <v>668</v>
      </c>
      <c r="I23" t="s">
        <v>669</v>
      </c>
      <c r="J23" t="s">
        <v>670</v>
      </c>
      <c r="K23" t="s">
        <v>671</v>
      </c>
      <c r="L23" t="s">
        <v>672</v>
      </c>
      <c r="M23" t="s">
        <v>673</v>
      </c>
      <c r="N23" s="1">
        <v>57206</v>
      </c>
      <c r="O23" t="s">
        <v>674</v>
      </c>
      <c r="R23">
        <v>32</v>
      </c>
      <c r="S23">
        <v>15</v>
      </c>
      <c r="T23">
        <v>279</v>
      </c>
      <c r="U23">
        <v>96</v>
      </c>
      <c r="V23" s="1">
        <v>7086</v>
      </c>
      <c r="Z23" t="s">
        <v>963</v>
      </c>
      <c r="AA23" t="s">
        <v>964</v>
      </c>
      <c r="AB23">
        <v>28472</v>
      </c>
      <c r="AC23">
        <v>3977</v>
      </c>
      <c r="AD23" t="s">
        <v>963</v>
      </c>
      <c r="AE23" t="s">
        <v>964</v>
      </c>
      <c r="AF23">
        <v>28472</v>
      </c>
      <c r="AG23">
        <v>1</v>
      </c>
      <c r="AH23" t="s">
        <v>965</v>
      </c>
      <c r="AJ23" t="s">
        <v>35</v>
      </c>
      <c r="AK23" t="s">
        <v>966</v>
      </c>
      <c r="AL23" t="s">
        <v>967</v>
      </c>
      <c r="AM23" t="s">
        <v>968</v>
      </c>
      <c r="AN23" t="s">
        <v>969</v>
      </c>
      <c r="AO23" t="s">
        <v>970</v>
      </c>
      <c r="AP23" t="s">
        <v>971</v>
      </c>
      <c r="AQ23" t="s">
        <v>36</v>
      </c>
      <c r="AR23" t="s">
        <v>972</v>
      </c>
      <c r="AS23" t="s">
        <v>969</v>
      </c>
      <c r="AT23" t="s">
        <v>970</v>
      </c>
      <c r="AU23" t="s">
        <v>973</v>
      </c>
      <c r="BC23">
        <v>1</v>
      </c>
      <c r="BD23">
        <v>5</v>
      </c>
      <c r="BE23">
        <v>1</v>
      </c>
      <c r="BF23">
        <v>2</v>
      </c>
      <c r="BG23">
        <v>9</v>
      </c>
      <c r="BI23" s="1">
        <v>13244</v>
      </c>
      <c r="BJ23">
        <v>1</v>
      </c>
      <c r="BK23">
        <v>0</v>
      </c>
      <c r="BL23">
        <v>1</v>
      </c>
      <c r="BM23">
        <v>24</v>
      </c>
      <c r="BN23">
        <v>25</v>
      </c>
      <c r="BO23" s="3">
        <v>0.04</v>
      </c>
      <c r="BP23">
        <v>32</v>
      </c>
      <c r="BQ23" s="4">
        <v>58355</v>
      </c>
      <c r="BU23" s="4">
        <v>29416</v>
      </c>
      <c r="BV23" s="4">
        <v>42024</v>
      </c>
      <c r="BW23" s="4">
        <v>32267</v>
      </c>
      <c r="BY23" s="4">
        <v>30769</v>
      </c>
      <c r="BZ23" s="4">
        <v>43958</v>
      </c>
      <c r="CA23" s="4">
        <v>36885</v>
      </c>
      <c r="CC23" s="4">
        <v>30769</v>
      </c>
      <c r="CD23" s="4">
        <v>43958</v>
      </c>
      <c r="CE23" s="1">
        <v>39488</v>
      </c>
      <c r="CG23" s="4">
        <v>30769</v>
      </c>
      <c r="CH23" s="4">
        <v>43958</v>
      </c>
      <c r="CI23" s="4">
        <v>34788</v>
      </c>
      <c r="CK23" s="4">
        <v>28016</v>
      </c>
      <c r="CL23" s="4">
        <v>42024</v>
      </c>
      <c r="CM23" s="1">
        <v>30621</v>
      </c>
      <c r="CO23" s="4">
        <v>33666</v>
      </c>
      <c r="CP23" s="4">
        <v>48095</v>
      </c>
      <c r="CQ23" s="4">
        <v>37611</v>
      </c>
      <c r="CR23" s="4">
        <v>30769</v>
      </c>
      <c r="CS23" s="4">
        <v>43958</v>
      </c>
      <c r="CT23" s="4">
        <v>36885</v>
      </c>
      <c r="CV23" s="4">
        <v>30769</v>
      </c>
      <c r="CW23" s="4">
        <v>43958</v>
      </c>
      <c r="CX23" s="4">
        <v>39488</v>
      </c>
      <c r="CZ23" s="4">
        <v>30769</v>
      </c>
      <c r="DA23" s="4">
        <v>43958</v>
      </c>
      <c r="DB23" s="4">
        <v>34788</v>
      </c>
      <c r="DD23" s="4">
        <v>28016</v>
      </c>
      <c r="DE23" s="4">
        <v>42024</v>
      </c>
      <c r="DF23" s="4">
        <v>30621</v>
      </c>
      <c r="DH23" s="4">
        <v>33666</v>
      </c>
      <c r="DI23" s="4">
        <v>48095</v>
      </c>
      <c r="DJ23" s="4">
        <v>37611</v>
      </c>
      <c r="DK23" s="4">
        <v>0</v>
      </c>
      <c r="DL23" s="4">
        <v>0</v>
      </c>
      <c r="DM23" s="4">
        <v>0</v>
      </c>
      <c r="DO23" s="4">
        <v>25703</v>
      </c>
      <c r="DP23" s="4">
        <v>36720</v>
      </c>
      <c r="DQ23" s="4">
        <v>27666</v>
      </c>
      <c r="DS23" s="4">
        <v>32063</v>
      </c>
      <c r="DT23" s="4">
        <v>48095</v>
      </c>
      <c r="DU23" s="4">
        <v>33150</v>
      </c>
      <c r="DV23" s="4">
        <v>0</v>
      </c>
      <c r="DW23" s="4">
        <v>1249869</v>
      </c>
      <c r="DX23" s="4">
        <v>1249869</v>
      </c>
      <c r="DY23" s="4">
        <v>114987</v>
      </c>
      <c r="DZ23" s="4">
        <v>100000</v>
      </c>
      <c r="EA23" s="4">
        <v>214987</v>
      </c>
      <c r="EB23" s="4">
        <v>0</v>
      </c>
      <c r="EC23" s="4">
        <v>0</v>
      </c>
      <c r="ED23" s="4">
        <v>0</v>
      </c>
      <c r="EE23" s="4">
        <v>0</v>
      </c>
      <c r="EF23" s="4">
        <v>1464856</v>
      </c>
      <c r="EG23" s="4">
        <v>802861</v>
      </c>
      <c r="EH23" s="4">
        <v>308435</v>
      </c>
      <c r="EI23" s="4">
        <v>1111296</v>
      </c>
      <c r="EJ23" s="4">
        <v>93500</v>
      </c>
      <c r="EK23" s="4">
        <v>8700</v>
      </c>
      <c r="EL23" s="4">
        <v>5500</v>
      </c>
      <c r="EM23" s="4">
        <v>107700</v>
      </c>
      <c r="EN23" s="4">
        <v>145860</v>
      </c>
      <c r="EO23" s="4">
        <v>1364856</v>
      </c>
      <c r="EP23" s="4">
        <v>100000</v>
      </c>
      <c r="EQ23" s="3">
        <v>6.83E-2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1">
        <v>12999</v>
      </c>
      <c r="EY23" s="1">
        <v>274008</v>
      </c>
      <c r="EZ23" s="1">
        <v>66247</v>
      </c>
      <c r="FA23" s="1">
        <v>5962</v>
      </c>
      <c r="FB23" s="1">
        <v>36671</v>
      </c>
      <c r="FC23" s="1">
        <v>51405</v>
      </c>
      <c r="FD23" s="1">
        <v>3914</v>
      </c>
      <c r="FE23" s="1">
        <v>14892</v>
      </c>
      <c r="FF23" s="1">
        <v>117652</v>
      </c>
      <c r="FG23" s="1">
        <v>9876</v>
      </c>
      <c r="FH23" s="1">
        <v>51563</v>
      </c>
      <c r="FI23" s="1">
        <v>179091</v>
      </c>
      <c r="FJ23">
        <v>0</v>
      </c>
      <c r="FK23">
        <v>351</v>
      </c>
      <c r="FM23" s="1">
        <v>179091</v>
      </c>
      <c r="FN23" s="1">
        <v>2012</v>
      </c>
      <c r="FO23" s="1">
        <v>5735</v>
      </c>
      <c r="FP23">
        <v>-1</v>
      </c>
      <c r="FQ23">
        <v>0</v>
      </c>
      <c r="FR23">
        <v>88</v>
      </c>
      <c r="FS23">
        <v>88</v>
      </c>
      <c r="FT23" s="1">
        <v>44141</v>
      </c>
      <c r="FU23" s="1">
        <v>3505</v>
      </c>
      <c r="FV23">
        <v>0</v>
      </c>
      <c r="FW23">
        <v>0</v>
      </c>
      <c r="FX23" s="1">
        <v>8544</v>
      </c>
      <c r="FY23" s="1">
        <v>1573</v>
      </c>
      <c r="FZ23">
        <v>322</v>
      </c>
      <c r="GA23">
        <v>0</v>
      </c>
      <c r="GB23" s="1">
        <v>26436</v>
      </c>
      <c r="GC23" s="1">
        <v>1747</v>
      </c>
      <c r="GD23">
        <v>278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186</v>
      </c>
      <c r="GK23">
        <v>0</v>
      </c>
      <c r="GL23">
        <v>0</v>
      </c>
      <c r="GM23">
        <v>0</v>
      </c>
      <c r="GN23" s="1">
        <v>79307</v>
      </c>
      <c r="GO23" s="1">
        <v>6825</v>
      </c>
      <c r="GP23">
        <v>600</v>
      </c>
      <c r="GQ23">
        <v>0</v>
      </c>
      <c r="GR23">
        <v>28</v>
      </c>
      <c r="GT23" s="1">
        <v>48358</v>
      </c>
      <c r="GU23" s="1">
        <v>2119</v>
      </c>
      <c r="GV23" s="1">
        <v>16553</v>
      </c>
      <c r="GW23" s="1">
        <v>10969</v>
      </c>
      <c r="GX23">
        <v>951</v>
      </c>
      <c r="GY23" s="1">
        <v>3847</v>
      </c>
      <c r="GZ23" s="1">
        <v>59327</v>
      </c>
      <c r="HA23" s="1">
        <v>3070</v>
      </c>
      <c r="HB23" s="1">
        <v>20400</v>
      </c>
      <c r="HC23" s="1">
        <v>82797</v>
      </c>
      <c r="HD23" s="1">
        <v>2115</v>
      </c>
      <c r="HE23" s="1">
        <v>84912</v>
      </c>
      <c r="HF23" s="1">
        <v>1952</v>
      </c>
      <c r="HG23" s="1">
        <v>12150</v>
      </c>
      <c r="HH23">
        <v>0</v>
      </c>
      <c r="HI23">
        <v>0</v>
      </c>
      <c r="HJ23" s="1">
        <v>14102</v>
      </c>
      <c r="HK23" s="1">
        <v>99014</v>
      </c>
      <c r="HL23">
        <v>24</v>
      </c>
      <c r="HM23" s="1">
        <v>2580</v>
      </c>
      <c r="HN23" s="1">
        <v>2604</v>
      </c>
      <c r="HO23">
        <v>13</v>
      </c>
      <c r="HP23">
        <v>825</v>
      </c>
      <c r="HQ23">
        <v>838</v>
      </c>
      <c r="HR23">
        <v>0</v>
      </c>
      <c r="HS23">
        <v>7</v>
      </c>
      <c r="HT23">
        <v>7</v>
      </c>
      <c r="HU23">
        <v>0</v>
      </c>
      <c r="HV23" s="1">
        <v>3449</v>
      </c>
      <c r="HW23" s="1">
        <v>3866</v>
      </c>
      <c r="HX23">
        <v>0</v>
      </c>
      <c r="HY23" s="1">
        <v>3866</v>
      </c>
      <c r="HZ23" s="1">
        <v>7315</v>
      </c>
      <c r="IA23" s="1">
        <v>2790</v>
      </c>
      <c r="IB23" s="1">
        <v>14947</v>
      </c>
      <c r="IC23" s="1">
        <v>102463</v>
      </c>
      <c r="ID23" s="1">
        <v>102463</v>
      </c>
      <c r="IE23" s="1">
        <v>106329</v>
      </c>
      <c r="IF23" s="1">
        <v>22817</v>
      </c>
      <c r="IG23">
        <v>269</v>
      </c>
      <c r="IJ23">
        <v>3</v>
      </c>
      <c r="IK23" s="3">
        <v>2.3099999999999999E-2</v>
      </c>
      <c r="IL23" s="3">
        <v>1.2999999999999999E-3</v>
      </c>
      <c r="IM23" s="3">
        <v>0.3165</v>
      </c>
      <c r="IN23" s="3">
        <v>0</v>
      </c>
      <c r="IO23" s="3">
        <v>0.28939999999999999</v>
      </c>
      <c r="IP23" s="3">
        <v>2.9999999999999997E-4</v>
      </c>
      <c r="IQ23" s="3">
        <v>0.65359999999999996</v>
      </c>
      <c r="IR23" s="3">
        <v>3.2300000000000002E-2</v>
      </c>
      <c r="IS23" s="3">
        <v>0.22270000000000001</v>
      </c>
      <c r="IT23" s="1">
        <v>30829</v>
      </c>
      <c r="IU23" s="1">
        <v>11417</v>
      </c>
      <c r="IV23" s="1">
        <v>42246</v>
      </c>
      <c r="IW23" s="3">
        <v>0.73850000000000005</v>
      </c>
      <c r="IX23" s="1">
        <v>88096</v>
      </c>
      <c r="IZ23">
        <v>31</v>
      </c>
      <c r="JA23">
        <v>23</v>
      </c>
      <c r="JB23">
        <v>113</v>
      </c>
      <c r="JC23">
        <v>17</v>
      </c>
      <c r="JD23">
        <v>19</v>
      </c>
      <c r="JE23">
        <v>649</v>
      </c>
      <c r="JF23">
        <v>48</v>
      </c>
      <c r="JG23">
        <v>42</v>
      </c>
      <c r="JH23">
        <v>762</v>
      </c>
      <c r="JI23">
        <v>852</v>
      </c>
      <c r="JJ23">
        <v>167</v>
      </c>
      <c r="JK23">
        <v>685</v>
      </c>
      <c r="JL23">
        <v>726</v>
      </c>
      <c r="JM23">
        <v>548</v>
      </c>
      <c r="JN23">
        <v>972</v>
      </c>
      <c r="JO23">
        <v>247</v>
      </c>
      <c r="JP23">
        <v>279</v>
      </c>
      <c r="JQ23" s="1">
        <v>2947</v>
      </c>
      <c r="JR23">
        <v>973</v>
      </c>
      <c r="JS23">
        <v>827</v>
      </c>
      <c r="JT23" s="1">
        <v>3919</v>
      </c>
      <c r="JU23" s="1">
        <v>5719</v>
      </c>
      <c r="JV23" s="1">
        <v>2246</v>
      </c>
      <c r="JW23" s="1">
        <v>3473</v>
      </c>
      <c r="JX23">
        <v>6.71</v>
      </c>
      <c r="JY23">
        <v>20.27</v>
      </c>
      <c r="JZ23">
        <v>5.14</v>
      </c>
      <c r="KA23">
        <v>0.17</v>
      </c>
      <c r="KB23">
        <v>0.69</v>
      </c>
      <c r="KC23">
        <v>18</v>
      </c>
      <c r="KD23">
        <v>82</v>
      </c>
      <c r="KE23">
        <v>39</v>
      </c>
      <c r="KF23">
        <v>127</v>
      </c>
      <c r="KG23">
        <v>0</v>
      </c>
      <c r="KH23">
        <v>0</v>
      </c>
      <c r="KI23">
        <v>13</v>
      </c>
      <c r="KJ23">
        <v>64</v>
      </c>
      <c r="KK23">
        <v>0</v>
      </c>
      <c r="KL23">
        <v>0</v>
      </c>
      <c r="KM23" s="1">
        <v>38791</v>
      </c>
      <c r="KN23" s="1">
        <v>11654</v>
      </c>
      <c r="KO23" s="1">
        <v>2677</v>
      </c>
      <c r="KQ23">
        <v>48</v>
      </c>
      <c r="KR23">
        <v>437</v>
      </c>
      <c r="KS23">
        <v>0</v>
      </c>
      <c r="KT23">
        <v>13</v>
      </c>
      <c r="KU23">
        <v>47</v>
      </c>
      <c r="KV23">
        <v>92</v>
      </c>
      <c r="KW23" s="1">
        <v>45396</v>
      </c>
      <c r="KZ23" s="1">
        <v>21705</v>
      </c>
      <c r="LC23" t="s">
        <v>965</v>
      </c>
      <c r="LD23" t="s">
        <v>709</v>
      </c>
      <c r="LE23" t="s">
        <v>963</v>
      </c>
      <c r="LF23" t="s">
        <v>964</v>
      </c>
      <c r="LG23">
        <v>28472</v>
      </c>
      <c r="LH23">
        <v>3198</v>
      </c>
      <c r="LI23" t="s">
        <v>963</v>
      </c>
      <c r="LJ23" t="s">
        <v>964</v>
      </c>
      <c r="LK23">
        <v>28472</v>
      </c>
      <c r="LL23">
        <v>3198</v>
      </c>
      <c r="LM23" t="s">
        <v>966</v>
      </c>
      <c r="LN23">
        <v>9106423116</v>
      </c>
      <c r="LO23">
        <v>9106423839</v>
      </c>
      <c r="LP23" s="1">
        <v>24606</v>
      </c>
      <c r="LQ23">
        <v>26.5</v>
      </c>
      <c r="LS23" s="1">
        <v>13244</v>
      </c>
      <c r="LT23">
        <v>364</v>
      </c>
      <c r="LW23">
        <v>7</v>
      </c>
      <c r="LX23" t="s">
        <v>974</v>
      </c>
      <c r="LY23">
        <v>0</v>
      </c>
      <c r="LZ23" t="s">
        <v>691</v>
      </c>
      <c r="MA23">
        <v>5</v>
      </c>
      <c r="MB23">
        <v>50</v>
      </c>
    </row>
    <row r="24" spans="1:340" x14ac:dyDescent="0.25">
      <c r="A24" t="s">
        <v>975</v>
      </c>
      <c r="B24">
        <v>0</v>
      </c>
      <c r="C24">
        <v>1375</v>
      </c>
      <c r="D24">
        <v>2017</v>
      </c>
      <c r="E24">
        <v>0</v>
      </c>
      <c r="F24" t="s">
        <v>975</v>
      </c>
      <c r="G24" t="s">
        <v>976</v>
      </c>
      <c r="H24" t="s">
        <v>668</v>
      </c>
      <c r="I24" t="s">
        <v>694</v>
      </c>
      <c r="J24" t="s">
        <v>670</v>
      </c>
      <c r="K24" t="s">
        <v>671</v>
      </c>
      <c r="L24" t="s">
        <v>695</v>
      </c>
      <c r="M24" t="s">
        <v>673</v>
      </c>
      <c r="N24" s="1">
        <v>186691</v>
      </c>
      <c r="O24" t="s">
        <v>674</v>
      </c>
      <c r="P24" s="1">
        <v>2364</v>
      </c>
      <c r="Q24">
        <v>240</v>
      </c>
      <c r="R24">
        <v>247</v>
      </c>
      <c r="S24">
        <v>81</v>
      </c>
      <c r="T24" s="1">
        <v>8647</v>
      </c>
      <c r="U24">
        <v>612</v>
      </c>
      <c r="V24" s="1">
        <v>63910</v>
      </c>
      <c r="W24" s="1">
        <v>7523</v>
      </c>
      <c r="X24" s="1">
        <v>1352995</v>
      </c>
      <c r="Y24" s="1">
        <v>272588</v>
      </c>
      <c r="Z24" t="s">
        <v>977</v>
      </c>
      <c r="AA24" t="s">
        <v>978</v>
      </c>
      <c r="AB24">
        <v>28560</v>
      </c>
      <c r="AC24">
        <v>4098</v>
      </c>
      <c r="AD24" t="s">
        <v>977</v>
      </c>
      <c r="AE24" t="s">
        <v>978</v>
      </c>
      <c r="AF24">
        <v>28560</v>
      </c>
      <c r="AG24">
        <v>1</v>
      </c>
      <c r="AH24" t="s">
        <v>979</v>
      </c>
      <c r="AJ24" t="s">
        <v>700</v>
      </c>
      <c r="AK24" t="s">
        <v>980</v>
      </c>
      <c r="AL24" t="s">
        <v>981</v>
      </c>
      <c r="AM24" t="s">
        <v>982</v>
      </c>
      <c r="AN24" t="s">
        <v>983</v>
      </c>
      <c r="AO24" t="s">
        <v>984</v>
      </c>
      <c r="AP24" t="s">
        <v>981</v>
      </c>
      <c r="AQ24" t="s">
        <v>706</v>
      </c>
      <c r="AR24" t="s">
        <v>982</v>
      </c>
      <c r="AS24" t="s">
        <v>983</v>
      </c>
      <c r="AT24" t="s">
        <v>984</v>
      </c>
      <c r="AU24" t="s">
        <v>985</v>
      </c>
      <c r="BC24">
        <v>0</v>
      </c>
      <c r="BD24">
        <v>10</v>
      </c>
      <c r="BE24">
        <v>0</v>
      </c>
      <c r="BF24">
        <v>2</v>
      </c>
      <c r="BG24">
        <v>12</v>
      </c>
      <c r="BI24" s="1">
        <v>25094</v>
      </c>
      <c r="BJ24">
        <v>4.68</v>
      </c>
      <c r="BK24">
        <v>5</v>
      </c>
      <c r="BL24">
        <v>9.68</v>
      </c>
      <c r="BM24">
        <v>61.05</v>
      </c>
      <c r="BN24">
        <v>70.73</v>
      </c>
      <c r="BO24" s="3">
        <v>6.6199999999999995E-2</v>
      </c>
      <c r="BP24" s="1">
        <v>3512</v>
      </c>
      <c r="BQ24" s="4">
        <v>84074</v>
      </c>
      <c r="BU24" s="4">
        <v>21949</v>
      </c>
      <c r="BV24" s="4">
        <v>62421</v>
      </c>
      <c r="CD24" s="4">
        <v>41662</v>
      </c>
      <c r="CH24" s="4">
        <v>38813</v>
      </c>
      <c r="CK24" s="4">
        <v>27851</v>
      </c>
      <c r="CL24" s="4">
        <v>38813</v>
      </c>
      <c r="CP24" s="4">
        <v>50211</v>
      </c>
      <c r="CT24" s="4">
        <v>19743</v>
      </c>
      <c r="CX24" s="4">
        <v>32704</v>
      </c>
      <c r="DB24" s="4">
        <v>35478</v>
      </c>
      <c r="DM24" s="4">
        <v>26686</v>
      </c>
      <c r="DQ24" s="4">
        <v>12043</v>
      </c>
      <c r="DV24" s="4">
        <v>163965</v>
      </c>
      <c r="DW24" s="4">
        <v>2725310</v>
      </c>
      <c r="DX24" s="4">
        <v>2889275</v>
      </c>
      <c r="DY24" s="4">
        <v>379113</v>
      </c>
      <c r="DZ24" s="4">
        <v>38000</v>
      </c>
      <c r="EA24" s="4">
        <v>417113</v>
      </c>
      <c r="EB24" s="4">
        <v>103249</v>
      </c>
      <c r="EC24" s="4">
        <v>0</v>
      </c>
      <c r="ED24" s="4">
        <v>103249</v>
      </c>
      <c r="EE24" s="4">
        <v>544052</v>
      </c>
      <c r="EF24" s="4">
        <v>3953689</v>
      </c>
      <c r="EG24" s="4">
        <v>1798885</v>
      </c>
      <c r="EH24" s="4">
        <v>643305</v>
      </c>
      <c r="EI24" s="4">
        <v>2442190</v>
      </c>
      <c r="EJ24" s="4">
        <v>196223</v>
      </c>
      <c r="EK24" s="4">
        <v>39135</v>
      </c>
      <c r="EL24" s="4">
        <v>34992</v>
      </c>
      <c r="EM24" s="4">
        <v>270350</v>
      </c>
      <c r="EN24" s="4">
        <v>729525</v>
      </c>
      <c r="EO24" s="4">
        <v>3442065</v>
      </c>
      <c r="EP24" s="4">
        <v>511624</v>
      </c>
      <c r="EQ24" s="3">
        <v>0.12939999999999999</v>
      </c>
      <c r="ER24" s="4">
        <v>0</v>
      </c>
      <c r="ES24" s="4">
        <v>0</v>
      </c>
      <c r="ET24" s="4">
        <v>100000</v>
      </c>
      <c r="EU24" s="4">
        <v>0</v>
      </c>
      <c r="EV24" s="4">
        <v>100000</v>
      </c>
      <c r="EW24" s="4">
        <v>185582</v>
      </c>
      <c r="EX24" s="1">
        <v>39388</v>
      </c>
      <c r="EY24" s="1">
        <v>422012</v>
      </c>
      <c r="EZ24" s="1">
        <v>101983</v>
      </c>
      <c r="FA24" s="1">
        <v>9592</v>
      </c>
      <c r="FB24" s="1">
        <v>63076</v>
      </c>
      <c r="FC24" s="1">
        <v>100399</v>
      </c>
      <c r="FD24" s="1">
        <v>3911</v>
      </c>
      <c r="FE24" s="1">
        <v>35822</v>
      </c>
      <c r="FF24" s="1">
        <v>202382</v>
      </c>
      <c r="FG24" s="1">
        <v>13503</v>
      </c>
      <c r="FH24" s="1">
        <v>98898</v>
      </c>
      <c r="FI24" s="1">
        <v>314783</v>
      </c>
      <c r="FJ24" s="1">
        <v>7793</v>
      </c>
      <c r="FK24">
        <v>403</v>
      </c>
      <c r="FM24" s="1">
        <v>314783</v>
      </c>
      <c r="FN24" s="1">
        <v>12236</v>
      </c>
      <c r="FO24" s="1">
        <v>14537</v>
      </c>
      <c r="FP24" s="1">
        <v>4334</v>
      </c>
      <c r="FQ24">
        <v>12</v>
      </c>
      <c r="FR24">
        <v>88</v>
      </c>
      <c r="FS24">
        <v>100</v>
      </c>
      <c r="FT24" s="1">
        <v>44141</v>
      </c>
      <c r="FU24" s="1">
        <v>3505</v>
      </c>
      <c r="FV24">
        <v>0</v>
      </c>
      <c r="FW24">
        <v>0</v>
      </c>
      <c r="FX24" s="1">
        <v>8544</v>
      </c>
      <c r="FY24" s="1">
        <v>1573</v>
      </c>
      <c r="FZ24">
        <v>322</v>
      </c>
      <c r="GA24">
        <v>0</v>
      </c>
      <c r="GE24">
        <v>0</v>
      </c>
      <c r="GJ24">
        <v>631</v>
      </c>
      <c r="GK24" s="1">
        <v>9110</v>
      </c>
      <c r="GL24">
        <v>0</v>
      </c>
      <c r="GM24">
        <v>0</v>
      </c>
      <c r="GN24" s="1">
        <v>53316</v>
      </c>
      <c r="GO24" s="1">
        <v>14188</v>
      </c>
      <c r="GP24">
        <v>322</v>
      </c>
      <c r="GQ24">
        <v>0</v>
      </c>
      <c r="GR24">
        <v>128</v>
      </c>
      <c r="GT24" s="1">
        <v>186143</v>
      </c>
      <c r="GU24" s="1">
        <v>13162</v>
      </c>
      <c r="GV24" s="1">
        <v>112788</v>
      </c>
      <c r="GW24" s="1">
        <v>51998</v>
      </c>
      <c r="GX24" s="1">
        <v>5317</v>
      </c>
      <c r="GY24" s="1">
        <v>31019</v>
      </c>
      <c r="GZ24" s="1">
        <v>238141</v>
      </c>
      <c r="HA24" s="1">
        <v>18479</v>
      </c>
      <c r="HB24" s="1">
        <v>143807</v>
      </c>
      <c r="HC24" s="1">
        <v>400427</v>
      </c>
      <c r="HD24" s="1">
        <v>5539</v>
      </c>
      <c r="HE24" s="1">
        <v>405966</v>
      </c>
      <c r="HF24" s="1">
        <v>25439</v>
      </c>
      <c r="HG24" s="1">
        <v>19540</v>
      </c>
      <c r="HH24">
        <v>0</v>
      </c>
      <c r="HI24" s="1">
        <v>2880</v>
      </c>
      <c r="HJ24" s="1">
        <v>47859</v>
      </c>
      <c r="HK24" s="1">
        <v>453825</v>
      </c>
      <c r="HL24">
        <v>479</v>
      </c>
      <c r="HM24" s="1">
        <v>3041</v>
      </c>
      <c r="HN24" s="1">
        <v>3520</v>
      </c>
      <c r="HO24" s="1">
        <v>2758</v>
      </c>
      <c r="HP24" s="1">
        <v>9511</v>
      </c>
      <c r="HQ24" s="1">
        <v>12269</v>
      </c>
      <c r="HR24">
        <v>0</v>
      </c>
      <c r="HS24">
        <v>0</v>
      </c>
      <c r="HT24">
        <v>0</v>
      </c>
      <c r="HU24">
        <v>0</v>
      </c>
      <c r="HV24" s="1">
        <v>15789</v>
      </c>
      <c r="HW24" s="1">
        <v>23651</v>
      </c>
      <c r="HX24" s="1">
        <v>67802</v>
      </c>
      <c r="HY24" s="1">
        <v>91453</v>
      </c>
      <c r="HZ24" s="1">
        <v>107242</v>
      </c>
      <c r="IA24" s="1">
        <v>37708</v>
      </c>
      <c r="IB24" s="1">
        <v>57248</v>
      </c>
      <c r="IC24" s="1">
        <v>469614</v>
      </c>
      <c r="ID24" s="1">
        <v>469614</v>
      </c>
      <c r="IE24" s="1">
        <v>561067</v>
      </c>
      <c r="IF24" s="1">
        <v>168866</v>
      </c>
      <c r="IG24">
        <v>332</v>
      </c>
      <c r="IJ24">
        <v>1</v>
      </c>
      <c r="IK24" s="3">
        <v>3.5200000000000002E-2</v>
      </c>
      <c r="IL24" s="3">
        <v>1E-3</v>
      </c>
      <c r="IM24" s="3">
        <v>0.16070000000000001</v>
      </c>
      <c r="IN24" s="3">
        <v>0</v>
      </c>
      <c r="IO24" s="3">
        <v>0.1263</v>
      </c>
      <c r="IP24" s="3">
        <v>2.0000000000000001E-4</v>
      </c>
      <c r="IQ24" s="3">
        <v>0.74590000000000001</v>
      </c>
      <c r="IR24" s="3">
        <v>6.2600000000000003E-2</v>
      </c>
      <c r="IS24" s="3">
        <v>0.35959999999999998</v>
      </c>
      <c r="IT24" s="1">
        <v>55516</v>
      </c>
      <c r="IU24" s="1">
        <v>11593</v>
      </c>
      <c r="IV24" s="1">
        <v>67109</v>
      </c>
      <c r="IW24" s="3">
        <v>0.35949999999999999</v>
      </c>
      <c r="IX24" s="1">
        <v>580822</v>
      </c>
      <c r="IZ24">
        <v>620</v>
      </c>
      <c r="JA24">
        <v>414</v>
      </c>
      <c r="JB24" s="1">
        <v>1242</v>
      </c>
      <c r="JC24">
        <v>39</v>
      </c>
      <c r="JD24">
        <v>7</v>
      </c>
      <c r="JE24">
        <v>190</v>
      </c>
      <c r="JF24">
        <v>659</v>
      </c>
      <c r="JG24">
        <v>421</v>
      </c>
      <c r="JH24" s="1">
        <v>1432</v>
      </c>
      <c r="JI24" s="1">
        <v>2512</v>
      </c>
      <c r="JJ24" s="1">
        <v>2276</v>
      </c>
      <c r="JK24">
        <v>236</v>
      </c>
      <c r="JL24" s="1">
        <v>7037</v>
      </c>
      <c r="JM24" s="1">
        <v>3989</v>
      </c>
      <c r="JN24" s="1">
        <v>26291</v>
      </c>
      <c r="JO24">
        <v>597</v>
      </c>
      <c r="JP24">
        <v>85</v>
      </c>
      <c r="JQ24">
        <v>901</v>
      </c>
      <c r="JR24" s="1">
        <v>7634</v>
      </c>
      <c r="JS24" s="1">
        <v>4074</v>
      </c>
      <c r="JT24" s="1">
        <v>27192</v>
      </c>
      <c r="JU24" s="1">
        <v>38900</v>
      </c>
      <c r="JV24" s="1">
        <v>37317</v>
      </c>
      <c r="JW24" s="1">
        <v>1583</v>
      </c>
      <c r="JX24">
        <v>15.49</v>
      </c>
      <c r="JY24">
        <v>11.58</v>
      </c>
      <c r="JZ24">
        <v>18.989999999999998</v>
      </c>
      <c r="KA24">
        <v>0.2</v>
      </c>
      <c r="KB24">
        <v>0.7</v>
      </c>
      <c r="KC24">
        <v>2</v>
      </c>
      <c r="KD24">
        <v>8</v>
      </c>
      <c r="KE24">
        <v>94</v>
      </c>
      <c r="KF24">
        <v>228</v>
      </c>
      <c r="KG24" s="1">
        <v>1284</v>
      </c>
      <c r="KH24" s="1">
        <v>29758</v>
      </c>
      <c r="KI24">
        <v>617</v>
      </c>
      <c r="KJ24" s="1">
        <v>7753</v>
      </c>
      <c r="KK24">
        <v>198</v>
      </c>
      <c r="KL24" s="1">
        <v>6279</v>
      </c>
      <c r="KM24" s="1">
        <v>141391</v>
      </c>
      <c r="KN24" s="1">
        <v>30991</v>
      </c>
      <c r="KO24" s="1">
        <v>9010</v>
      </c>
      <c r="KQ24">
        <v>744</v>
      </c>
      <c r="KR24" s="1">
        <v>5484</v>
      </c>
      <c r="KS24">
        <v>224</v>
      </c>
      <c r="KT24">
        <v>231</v>
      </c>
      <c r="KU24">
        <v>72</v>
      </c>
      <c r="KV24">
        <v>132</v>
      </c>
      <c r="KW24" s="1">
        <v>90506</v>
      </c>
      <c r="KY24" s="1">
        <v>179970</v>
      </c>
      <c r="KZ24" s="1">
        <v>32895</v>
      </c>
      <c r="LC24" t="s">
        <v>986</v>
      </c>
      <c r="LD24" t="s">
        <v>709</v>
      </c>
      <c r="LE24" t="s">
        <v>987</v>
      </c>
      <c r="LF24" t="s">
        <v>988</v>
      </c>
      <c r="LG24">
        <v>28512</v>
      </c>
      <c r="LH24">
        <v>6122</v>
      </c>
      <c r="LI24" t="s">
        <v>987</v>
      </c>
      <c r="LJ24" t="s">
        <v>988</v>
      </c>
      <c r="LK24">
        <v>28512</v>
      </c>
      <c r="LL24">
        <v>6122</v>
      </c>
      <c r="LM24" t="s">
        <v>989</v>
      </c>
      <c r="LN24">
        <v>2522474660</v>
      </c>
      <c r="LO24">
        <v>2522472802</v>
      </c>
      <c r="LP24" s="1">
        <v>79691</v>
      </c>
      <c r="LQ24">
        <v>70.73</v>
      </c>
      <c r="LS24" s="1">
        <v>25094</v>
      </c>
      <c r="LT24">
        <v>520</v>
      </c>
      <c r="LW24">
        <v>2</v>
      </c>
      <c r="LX24" t="s">
        <v>990</v>
      </c>
      <c r="LY24">
        <v>0</v>
      </c>
      <c r="LZ24" t="s">
        <v>738</v>
      </c>
      <c r="MA24">
        <v>4.47</v>
      </c>
      <c r="MB24">
        <v>36.85</v>
      </c>
    </row>
    <row r="25" spans="1:340" x14ac:dyDescent="0.25">
      <c r="A25" t="s">
        <v>991</v>
      </c>
      <c r="B25">
        <v>0</v>
      </c>
      <c r="C25">
        <v>1375</v>
      </c>
      <c r="D25">
        <v>2017</v>
      </c>
      <c r="E25">
        <v>0</v>
      </c>
      <c r="F25" t="s">
        <v>991</v>
      </c>
      <c r="G25" t="s">
        <v>992</v>
      </c>
      <c r="H25" t="s">
        <v>668</v>
      </c>
      <c r="I25" t="s">
        <v>669</v>
      </c>
      <c r="J25" t="s">
        <v>670</v>
      </c>
      <c r="K25" t="s">
        <v>671</v>
      </c>
      <c r="L25" t="s">
        <v>672</v>
      </c>
      <c r="M25" t="s">
        <v>673</v>
      </c>
      <c r="N25" s="1">
        <v>328860</v>
      </c>
      <c r="O25" t="s">
        <v>674</v>
      </c>
      <c r="P25" s="1">
        <v>2132</v>
      </c>
      <c r="Q25">
        <v>484</v>
      </c>
      <c r="R25">
        <v>467</v>
      </c>
      <c r="S25">
        <v>81</v>
      </c>
      <c r="T25" s="1">
        <v>13809</v>
      </c>
      <c r="U25">
        <v>951</v>
      </c>
      <c r="V25" s="1">
        <v>165647</v>
      </c>
      <c r="W25" s="1">
        <v>21844</v>
      </c>
      <c r="X25" s="1">
        <v>1720588</v>
      </c>
      <c r="Y25" s="1">
        <v>377852</v>
      </c>
      <c r="Z25" t="s">
        <v>993</v>
      </c>
      <c r="AA25" t="s">
        <v>994</v>
      </c>
      <c r="AB25">
        <v>28301</v>
      </c>
      <c r="AC25">
        <v>5032</v>
      </c>
      <c r="AD25" t="s">
        <v>995</v>
      </c>
      <c r="AE25" t="s">
        <v>994</v>
      </c>
      <c r="AF25">
        <v>28301</v>
      </c>
      <c r="AG25">
        <v>2</v>
      </c>
      <c r="AH25" t="s">
        <v>996</v>
      </c>
      <c r="AJ25" t="s">
        <v>35</v>
      </c>
      <c r="AK25" t="s">
        <v>997</v>
      </c>
      <c r="AL25" t="s">
        <v>998</v>
      </c>
      <c r="AM25" t="s">
        <v>999</v>
      </c>
      <c r="AN25" t="s">
        <v>1000</v>
      </c>
      <c r="AO25" t="s">
        <v>1001</v>
      </c>
      <c r="AP25" t="s">
        <v>1002</v>
      </c>
      <c r="AQ25" t="s">
        <v>1003</v>
      </c>
      <c r="AR25" t="s">
        <v>999</v>
      </c>
      <c r="AS25" t="s">
        <v>1000</v>
      </c>
      <c r="AT25" t="s">
        <v>1004</v>
      </c>
      <c r="AU25" t="s">
        <v>1005</v>
      </c>
      <c r="BC25">
        <v>1</v>
      </c>
      <c r="BD25">
        <v>8</v>
      </c>
      <c r="BE25">
        <v>0</v>
      </c>
      <c r="BF25">
        <v>1</v>
      </c>
      <c r="BG25">
        <v>10</v>
      </c>
      <c r="BI25" s="1">
        <v>30108</v>
      </c>
      <c r="BJ25">
        <v>47</v>
      </c>
      <c r="BK25">
        <v>0</v>
      </c>
      <c r="BL25">
        <v>47</v>
      </c>
      <c r="BM25">
        <v>134.72999999999999</v>
      </c>
      <c r="BN25">
        <v>181.73</v>
      </c>
      <c r="BO25" s="3">
        <v>0.2586</v>
      </c>
      <c r="BP25" s="1">
        <v>3833</v>
      </c>
      <c r="BQ25" s="4">
        <v>105318</v>
      </c>
      <c r="BT25" s="1">
        <v>69000</v>
      </c>
      <c r="BU25" s="4">
        <v>47143</v>
      </c>
      <c r="BV25" s="4">
        <v>79341</v>
      </c>
      <c r="BW25" s="4">
        <v>51379</v>
      </c>
      <c r="BY25" s="4">
        <v>41132</v>
      </c>
      <c r="BZ25" s="4">
        <v>69225</v>
      </c>
      <c r="CA25" s="4">
        <v>42786</v>
      </c>
      <c r="CC25" s="4">
        <v>41132</v>
      </c>
      <c r="CD25" s="4">
        <v>69225</v>
      </c>
      <c r="CE25" s="1">
        <v>42018</v>
      </c>
      <c r="CG25" s="4">
        <v>41132</v>
      </c>
      <c r="CH25" s="4">
        <v>69225</v>
      </c>
      <c r="CI25" s="4">
        <v>46488</v>
      </c>
      <c r="CK25" s="4">
        <v>37580</v>
      </c>
      <c r="CL25" s="4">
        <v>63248</v>
      </c>
      <c r="CM25">
        <v>0</v>
      </c>
      <c r="CO25" s="4">
        <v>46710</v>
      </c>
      <c r="CP25" s="4">
        <v>78613</v>
      </c>
      <c r="CQ25" s="4">
        <v>49131</v>
      </c>
      <c r="CR25" s="4">
        <v>37580</v>
      </c>
      <c r="CS25" s="4">
        <v>63248</v>
      </c>
      <c r="CT25" s="4">
        <v>39333</v>
      </c>
      <c r="CV25" s="4">
        <v>37580</v>
      </c>
      <c r="CW25" s="4">
        <v>63248</v>
      </c>
      <c r="CX25" s="4">
        <v>38866</v>
      </c>
      <c r="CZ25" s="4">
        <v>37580</v>
      </c>
      <c r="DA25" s="4">
        <v>63248</v>
      </c>
      <c r="DB25" s="4">
        <v>37580</v>
      </c>
      <c r="DD25" s="4">
        <v>35878</v>
      </c>
      <c r="DE25" s="4">
        <v>60382</v>
      </c>
      <c r="DF25" s="4">
        <v>0</v>
      </c>
      <c r="DK25" s="4">
        <v>35396</v>
      </c>
      <c r="DL25" s="4">
        <v>59572</v>
      </c>
      <c r="DM25" s="4">
        <v>37536</v>
      </c>
      <c r="DO25" s="4">
        <v>28263</v>
      </c>
      <c r="DP25" s="4">
        <v>47566</v>
      </c>
      <c r="DQ25" s="4">
        <v>25055</v>
      </c>
      <c r="DS25" s="4">
        <v>40804</v>
      </c>
      <c r="DT25" s="4">
        <v>68672</v>
      </c>
      <c r="DU25" s="4">
        <v>39319</v>
      </c>
      <c r="DV25" s="4">
        <v>0</v>
      </c>
      <c r="DW25" s="4">
        <v>10639547</v>
      </c>
      <c r="DX25" s="4">
        <v>10639547</v>
      </c>
      <c r="DY25" s="4">
        <v>309955</v>
      </c>
      <c r="DZ25" s="4">
        <v>45292</v>
      </c>
      <c r="EA25" s="4">
        <v>355247</v>
      </c>
      <c r="EB25" s="4">
        <v>30111</v>
      </c>
      <c r="EC25" s="4">
        <v>0</v>
      </c>
      <c r="ED25" s="4">
        <v>30111</v>
      </c>
      <c r="EE25" s="4">
        <v>40559</v>
      </c>
      <c r="EF25" s="4">
        <v>11065464</v>
      </c>
      <c r="EG25" s="4">
        <v>6315948</v>
      </c>
      <c r="EH25" s="4">
        <v>2362739</v>
      </c>
      <c r="EI25" s="4">
        <v>8678687</v>
      </c>
      <c r="EJ25" s="4">
        <v>796762</v>
      </c>
      <c r="EK25" s="4">
        <v>286422</v>
      </c>
      <c r="EL25" s="4">
        <v>32428</v>
      </c>
      <c r="EM25" s="4">
        <v>1115612</v>
      </c>
      <c r="EN25" s="4">
        <v>1290909</v>
      </c>
      <c r="EO25" s="4">
        <v>11085208</v>
      </c>
      <c r="EP25" s="4">
        <v>-19744</v>
      </c>
      <c r="EQ25" s="3">
        <v>-1.8E-3</v>
      </c>
      <c r="ER25" s="4">
        <v>0</v>
      </c>
      <c r="ES25" s="4">
        <v>0</v>
      </c>
      <c r="ET25" s="4">
        <v>0</v>
      </c>
      <c r="EU25" s="4">
        <v>0</v>
      </c>
      <c r="EV25" s="4">
        <v>0</v>
      </c>
      <c r="EW25" s="4">
        <v>0</v>
      </c>
      <c r="EX25" s="1">
        <v>84456</v>
      </c>
      <c r="EY25" s="1">
        <v>658117</v>
      </c>
      <c r="EZ25" s="1">
        <v>111739</v>
      </c>
      <c r="FA25" s="1">
        <v>34215</v>
      </c>
      <c r="FB25" s="1">
        <v>133505</v>
      </c>
      <c r="FC25" s="1">
        <v>133909</v>
      </c>
      <c r="FD25" s="1">
        <v>1477</v>
      </c>
      <c r="FE25" s="1">
        <v>59140</v>
      </c>
      <c r="FF25" s="1">
        <v>245648</v>
      </c>
      <c r="FG25" s="1">
        <v>35692</v>
      </c>
      <c r="FH25" s="1">
        <v>192645</v>
      </c>
      <c r="FI25" s="1">
        <v>473985</v>
      </c>
      <c r="FJ25" s="1">
        <v>6461</v>
      </c>
      <c r="FK25">
        <v>716</v>
      </c>
      <c r="FM25" s="1">
        <v>473985</v>
      </c>
      <c r="FN25" s="1">
        <v>28096</v>
      </c>
      <c r="FO25" s="1">
        <v>31428</v>
      </c>
      <c r="FP25">
        <v>0</v>
      </c>
      <c r="FQ25">
        <v>20</v>
      </c>
      <c r="FR25">
        <v>88</v>
      </c>
      <c r="FS25">
        <v>108</v>
      </c>
      <c r="FT25" s="1">
        <v>44141</v>
      </c>
      <c r="FU25" s="1">
        <v>3505</v>
      </c>
      <c r="FV25">
        <v>0</v>
      </c>
      <c r="FW25">
        <v>0</v>
      </c>
      <c r="FX25" s="1">
        <v>8544</v>
      </c>
      <c r="FY25" s="1">
        <v>1573</v>
      </c>
      <c r="FZ25">
        <v>322</v>
      </c>
      <c r="GA25">
        <v>0</v>
      </c>
      <c r="GF25" s="1">
        <v>36593</v>
      </c>
      <c r="GG25" s="1">
        <v>13194</v>
      </c>
      <c r="GH25">
        <v>264</v>
      </c>
      <c r="GI25">
        <v>12</v>
      </c>
      <c r="GJ25" s="1">
        <v>1084</v>
      </c>
      <c r="GK25" s="1">
        <v>7969</v>
      </c>
      <c r="GL25">
        <v>0</v>
      </c>
      <c r="GM25">
        <v>122</v>
      </c>
      <c r="GN25" s="1">
        <v>90362</v>
      </c>
      <c r="GO25" s="1">
        <v>26241</v>
      </c>
      <c r="GP25">
        <v>586</v>
      </c>
      <c r="GQ25">
        <v>134</v>
      </c>
      <c r="GR25">
        <v>291</v>
      </c>
      <c r="GT25" s="1">
        <v>288757</v>
      </c>
      <c r="GU25" s="1">
        <v>79957</v>
      </c>
      <c r="GV25" s="1">
        <v>451345</v>
      </c>
      <c r="GW25" s="1">
        <v>158005</v>
      </c>
      <c r="GX25">
        <v>485</v>
      </c>
      <c r="GY25" s="1">
        <v>101474</v>
      </c>
      <c r="GZ25" s="1">
        <v>446762</v>
      </c>
      <c r="HA25" s="1">
        <v>80442</v>
      </c>
      <c r="HB25" s="1">
        <v>552819</v>
      </c>
      <c r="HC25" s="1">
        <v>1080023</v>
      </c>
      <c r="HD25" s="1">
        <v>11500</v>
      </c>
      <c r="HE25" s="1">
        <v>1095065</v>
      </c>
      <c r="HF25" s="1">
        <v>70987</v>
      </c>
      <c r="HG25" s="1">
        <v>215747</v>
      </c>
      <c r="HH25" s="1">
        <v>3542</v>
      </c>
      <c r="HI25">
        <v>420</v>
      </c>
      <c r="HJ25" s="1">
        <v>287154</v>
      </c>
      <c r="HK25" s="1">
        <v>1382219</v>
      </c>
      <c r="HL25">
        <v>403</v>
      </c>
      <c r="HM25" s="1">
        <v>80056</v>
      </c>
      <c r="HN25" s="1">
        <v>80459</v>
      </c>
      <c r="HO25" s="1">
        <v>1890</v>
      </c>
      <c r="HP25" s="1">
        <v>34702</v>
      </c>
      <c r="HQ25" s="1">
        <v>36592</v>
      </c>
      <c r="HR25">
        <v>0</v>
      </c>
      <c r="HS25">
        <v>375</v>
      </c>
      <c r="HT25">
        <v>375</v>
      </c>
      <c r="HU25" s="1">
        <v>6037</v>
      </c>
      <c r="HV25" s="1">
        <v>123463</v>
      </c>
      <c r="HW25" s="1">
        <v>104913</v>
      </c>
      <c r="HX25" s="1">
        <v>168041</v>
      </c>
      <c r="HY25" s="1">
        <v>272954</v>
      </c>
      <c r="HZ25" s="1">
        <v>396417</v>
      </c>
      <c r="IA25" s="1">
        <v>107579</v>
      </c>
      <c r="IB25" s="1">
        <v>323701</v>
      </c>
      <c r="IC25" s="1">
        <v>1505682</v>
      </c>
      <c r="ID25" s="1">
        <v>1505682</v>
      </c>
      <c r="IE25" s="1">
        <v>1778636</v>
      </c>
      <c r="IF25" s="1">
        <v>677051</v>
      </c>
      <c r="IG25" s="1">
        <v>17223</v>
      </c>
      <c r="IJ25">
        <v>1</v>
      </c>
      <c r="IK25" s="3">
        <v>4.8599999999999997E-2</v>
      </c>
      <c r="IL25" s="3">
        <v>1.1000000000000001E-3</v>
      </c>
      <c r="IM25" s="3">
        <v>0.17829999999999999</v>
      </c>
      <c r="IN25" s="3">
        <v>0</v>
      </c>
      <c r="IO25" s="3">
        <v>0.13730000000000001</v>
      </c>
      <c r="IP25" s="3">
        <v>2.0000000000000001E-4</v>
      </c>
      <c r="IQ25" s="3">
        <v>0.72019999999999995</v>
      </c>
      <c r="IR25" s="3">
        <v>8.2600000000000007E-2</v>
      </c>
      <c r="IS25" s="3">
        <v>0.44969999999999999</v>
      </c>
      <c r="IT25" s="1">
        <v>201569</v>
      </c>
      <c r="IU25" s="1">
        <v>32089</v>
      </c>
      <c r="IV25" s="1">
        <v>233658</v>
      </c>
      <c r="IW25" s="3">
        <v>0.71050000000000002</v>
      </c>
      <c r="IX25" s="1">
        <v>1214921</v>
      </c>
      <c r="IZ25">
        <v>891</v>
      </c>
      <c r="JA25">
        <v>728</v>
      </c>
      <c r="JB25" s="1">
        <v>1831</v>
      </c>
      <c r="JC25">
        <v>54</v>
      </c>
      <c r="JD25">
        <v>46</v>
      </c>
      <c r="JE25">
        <v>565</v>
      </c>
      <c r="JF25">
        <v>945</v>
      </c>
      <c r="JG25">
        <v>774</v>
      </c>
      <c r="JH25" s="1">
        <v>2396</v>
      </c>
      <c r="JI25" s="1">
        <v>4115</v>
      </c>
      <c r="JJ25" s="1">
        <v>3450</v>
      </c>
      <c r="JK25">
        <v>665</v>
      </c>
      <c r="JL25" s="1">
        <v>10772</v>
      </c>
      <c r="JM25" s="1">
        <v>16286</v>
      </c>
      <c r="JN25" s="1">
        <v>45516</v>
      </c>
      <c r="JO25" s="1">
        <v>1279</v>
      </c>
      <c r="JP25" s="1">
        <v>1442</v>
      </c>
      <c r="JQ25" s="1">
        <v>20002</v>
      </c>
      <c r="JR25" s="1">
        <v>12051</v>
      </c>
      <c r="JS25" s="1">
        <v>17728</v>
      </c>
      <c r="JT25" s="1">
        <v>65518</v>
      </c>
      <c r="JU25" s="1">
        <v>95297</v>
      </c>
      <c r="JV25" s="1">
        <v>72574</v>
      </c>
      <c r="JW25" s="1">
        <v>22723</v>
      </c>
      <c r="JX25">
        <v>23.16</v>
      </c>
      <c r="JY25">
        <v>12.75</v>
      </c>
      <c r="JZ25">
        <v>27.34</v>
      </c>
      <c r="KA25">
        <v>0.13</v>
      </c>
      <c r="KB25">
        <v>0.69</v>
      </c>
      <c r="KC25">
        <v>180</v>
      </c>
      <c r="KD25" s="1">
        <v>2677</v>
      </c>
      <c r="KE25">
        <v>174</v>
      </c>
      <c r="KF25">
        <v>910</v>
      </c>
      <c r="KG25" s="1">
        <v>1511</v>
      </c>
      <c r="KH25" s="1">
        <v>35397</v>
      </c>
      <c r="KI25">
        <v>0</v>
      </c>
      <c r="KJ25">
        <v>0</v>
      </c>
      <c r="KK25">
        <v>148</v>
      </c>
      <c r="KL25" s="1">
        <v>4097</v>
      </c>
      <c r="KM25" s="1">
        <v>219230</v>
      </c>
      <c r="KN25" s="1">
        <v>99573</v>
      </c>
      <c r="KO25" s="1">
        <v>4414</v>
      </c>
      <c r="KQ25" s="1">
        <v>11211</v>
      </c>
      <c r="KR25" s="1">
        <v>66082</v>
      </c>
      <c r="KS25" s="1">
        <v>35924</v>
      </c>
      <c r="KT25" s="1">
        <v>35562</v>
      </c>
      <c r="KU25">
        <v>227</v>
      </c>
      <c r="KV25">
        <v>434</v>
      </c>
      <c r="KW25" s="1">
        <v>300010</v>
      </c>
      <c r="KY25" s="1">
        <v>467190</v>
      </c>
      <c r="KZ25" s="1">
        <v>542389</v>
      </c>
      <c r="LC25" t="s">
        <v>996</v>
      </c>
      <c r="LD25" t="s">
        <v>709</v>
      </c>
      <c r="LE25" t="s">
        <v>993</v>
      </c>
      <c r="LF25" t="s">
        <v>994</v>
      </c>
      <c r="LG25">
        <v>28301</v>
      </c>
      <c r="LH25">
        <v>5032</v>
      </c>
      <c r="LI25" t="s">
        <v>995</v>
      </c>
      <c r="LJ25" t="s">
        <v>994</v>
      </c>
      <c r="LK25">
        <v>28301</v>
      </c>
      <c r="LL25">
        <v>5032</v>
      </c>
      <c r="LM25" t="s">
        <v>997</v>
      </c>
      <c r="LN25">
        <v>9104837727</v>
      </c>
      <c r="LO25">
        <v>9104865372</v>
      </c>
      <c r="LP25" s="1">
        <v>192169</v>
      </c>
      <c r="LQ25">
        <v>182.75</v>
      </c>
      <c r="LS25" s="1">
        <v>30108</v>
      </c>
      <c r="LT25">
        <v>468</v>
      </c>
      <c r="LW25">
        <v>2</v>
      </c>
      <c r="LX25" t="s">
        <v>1006</v>
      </c>
      <c r="LY25">
        <v>0</v>
      </c>
      <c r="LZ25" t="s">
        <v>691</v>
      </c>
      <c r="MA25">
        <v>527.16</v>
      </c>
      <c r="MB25">
        <v>619.76</v>
      </c>
    </row>
    <row r="26" spans="1:340" x14ac:dyDescent="0.25">
      <c r="A26" t="s">
        <v>1007</v>
      </c>
      <c r="B26">
        <v>0</v>
      </c>
      <c r="C26">
        <v>1375</v>
      </c>
      <c r="D26">
        <v>2017</v>
      </c>
      <c r="E26">
        <v>0</v>
      </c>
      <c r="F26" t="s">
        <v>1007</v>
      </c>
      <c r="G26" t="s">
        <v>1008</v>
      </c>
      <c r="H26" t="s">
        <v>668</v>
      </c>
      <c r="I26" t="s">
        <v>669</v>
      </c>
      <c r="J26" t="s">
        <v>670</v>
      </c>
      <c r="K26" t="s">
        <v>671</v>
      </c>
      <c r="L26" t="s">
        <v>791</v>
      </c>
      <c r="M26" t="s">
        <v>673</v>
      </c>
      <c r="N26" s="1">
        <v>159339</v>
      </c>
      <c r="O26" t="s">
        <v>674</v>
      </c>
      <c r="P26" s="1">
        <v>1385</v>
      </c>
      <c r="Q26">
        <v>186</v>
      </c>
      <c r="R26">
        <v>178</v>
      </c>
      <c r="S26">
        <v>27</v>
      </c>
      <c r="T26" s="1">
        <v>5561</v>
      </c>
      <c r="U26">
        <v>414</v>
      </c>
      <c r="V26" s="1">
        <v>38030</v>
      </c>
      <c r="W26" s="1">
        <v>6562</v>
      </c>
      <c r="X26" s="1">
        <v>343340</v>
      </c>
      <c r="Y26" s="1">
        <v>39455</v>
      </c>
      <c r="Z26" t="s">
        <v>1009</v>
      </c>
      <c r="AA26" t="s">
        <v>1010</v>
      </c>
      <c r="AB26">
        <v>27292</v>
      </c>
      <c r="AC26">
        <v>3239</v>
      </c>
      <c r="AD26" t="s">
        <v>1009</v>
      </c>
      <c r="AE26" t="s">
        <v>1010</v>
      </c>
      <c r="AF26">
        <v>27292</v>
      </c>
      <c r="AG26">
        <v>2</v>
      </c>
      <c r="AH26" t="s">
        <v>1011</v>
      </c>
      <c r="AJ26" t="s">
        <v>35</v>
      </c>
      <c r="AK26" t="s">
        <v>1012</v>
      </c>
      <c r="AL26" t="s">
        <v>1013</v>
      </c>
      <c r="AM26" t="s">
        <v>1014</v>
      </c>
      <c r="AN26" t="s">
        <v>1015</v>
      </c>
      <c r="AO26" t="s">
        <v>1016</v>
      </c>
      <c r="AP26" t="s">
        <v>1017</v>
      </c>
      <c r="AQ26" t="s">
        <v>1018</v>
      </c>
      <c r="AR26" t="s">
        <v>1019</v>
      </c>
      <c r="AS26" t="s">
        <v>1015</v>
      </c>
      <c r="AT26" t="s">
        <v>1020</v>
      </c>
      <c r="AU26" t="s">
        <v>1021</v>
      </c>
      <c r="BC26">
        <v>1</v>
      </c>
      <c r="BD26">
        <v>4</v>
      </c>
      <c r="BE26">
        <v>1</v>
      </c>
      <c r="BF26">
        <v>0</v>
      </c>
      <c r="BG26">
        <v>6</v>
      </c>
      <c r="BI26" s="1">
        <v>16172</v>
      </c>
      <c r="BJ26">
        <v>7.5</v>
      </c>
      <c r="BK26">
        <v>0</v>
      </c>
      <c r="BL26">
        <v>7.5</v>
      </c>
      <c r="BM26">
        <v>52.85</v>
      </c>
      <c r="BN26">
        <v>60.35</v>
      </c>
      <c r="BO26" s="3">
        <v>0.12429999999999999</v>
      </c>
      <c r="BP26" s="1">
        <v>2451</v>
      </c>
      <c r="BQ26" s="4">
        <v>72313</v>
      </c>
      <c r="BT26" s="1">
        <v>52280</v>
      </c>
      <c r="BU26" s="4">
        <v>39069</v>
      </c>
      <c r="BV26" s="4">
        <v>58604</v>
      </c>
      <c r="BW26" s="4">
        <v>48836</v>
      </c>
      <c r="CG26" s="4">
        <v>33766</v>
      </c>
      <c r="CH26" s="4">
        <v>50739</v>
      </c>
      <c r="CI26" s="4">
        <v>42253</v>
      </c>
      <c r="DD26" s="4">
        <v>26461</v>
      </c>
      <c r="DE26" s="4">
        <v>39693</v>
      </c>
      <c r="DF26" s="4">
        <v>33078</v>
      </c>
      <c r="DH26" s="4">
        <v>27835</v>
      </c>
      <c r="DI26" s="4">
        <v>41753</v>
      </c>
      <c r="DJ26" s="4">
        <v>34794</v>
      </c>
      <c r="DV26" s="4">
        <v>0</v>
      </c>
      <c r="DW26" s="4">
        <v>3453686</v>
      </c>
      <c r="DX26" s="4">
        <v>3453686</v>
      </c>
      <c r="DY26" s="4">
        <v>186786</v>
      </c>
      <c r="DZ26" s="4">
        <v>0</v>
      </c>
      <c r="EA26" s="4">
        <v>186786</v>
      </c>
      <c r="EB26" s="4">
        <v>6203</v>
      </c>
      <c r="EC26" s="4">
        <v>0</v>
      </c>
      <c r="ED26" s="4">
        <v>6203</v>
      </c>
      <c r="EE26" s="4">
        <v>90464</v>
      </c>
      <c r="EF26" s="4">
        <v>3737139</v>
      </c>
      <c r="EG26" s="4">
        <v>1755035</v>
      </c>
      <c r="EH26" s="4">
        <v>692658</v>
      </c>
      <c r="EI26" s="4">
        <v>2447693</v>
      </c>
      <c r="EJ26" s="4">
        <v>215584</v>
      </c>
      <c r="EK26" s="4">
        <v>100824</v>
      </c>
      <c r="EL26" s="4">
        <v>25277</v>
      </c>
      <c r="EM26" s="4">
        <v>341685</v>
      </c>
      <c r="EN26" s="4">
        <v>910274</v>
      </c>
      <c r="EO26" s="4">
        <v>3699652</v>
      </c>
      <c r="EP26" s="4">
        <v>37487</v>
      </c>
      <c r="EQ26" s="3">
        <v>0.01</v>
      </c>
      <c r="ER26" s="4">
        <v>37487</v>
      </c>
      <c r="ES26" s="4">
        <v>0</v>
      </c>
      <c r="ET26" s="4">
        <v>0</v>
      </c>
      <c r="EU26" s="4">
        <v>0</v>
      </c>
      <c r="EV26" s="4">
        <v>37487</v>
      </c>
      <c r="EW26" s="4">
        <v>37487</v>
      </c>
      <c r="EX26" s="1">
        <v>57246</v>
      </c>
      <c r="EY26" s="1">
        <v>485727</v>
      </c>
      <c r="EZ26" s="1">
        <v>106335</v>
      </c>
      <c r="FA26" s="1">
        <v>18215</v>
      </c>
      <c r="FB26" s="1">
        <v>60516</v>
      </c>
      <c r="FC26" s="1">
        <v>97000</v>
      </c>
      <c r="FD26" s="1">
        <v>4675</v>
      </c>
      <c r="FE26" s="1">
        <v>25536</v>
      </c>
      <c r="FF26" s="1">
        <v>203335</v>
      </c>
      <c r="FG26" s="1">
        <v>22890</v>
      </c>
      <c r="FH26" s="1">
        <v>86052</v>
      </c>
      <c r="FI26" s="1">
        <v>312277</v>
      </c>
      <c r="FJ26" s="1">
        <v>1105</v>
      </c>
      <c r="FK26" s="1">
        <v>1618</v>
      </c>
      <c r="FM26" s="1">
        <v>312277</v>
      </c>
      <c r="FN26" s="1">
        <v>13903</v>
      </c>
      <c r="FO26" s="1">
        <v>17393</v>
      </c>
      <c r="FP26">
        <v>280</v>
      </c>
      <c r="FQ26">
        <v>22</v>
      </c>
      <c r="FR26">
        <v>88</v>
      </c>
      <c r="FS26">
        <v>110</v>
      </c>
      <c r="FT26" s="1">
        <v>44141</v>
      </c>
      <c r="FU26" s="1">
        <v>3505</v>
      </c>
      <c r="FV26">
        <v>0</v>
      </c>
      <c r="FW26">
        <v>0</v>
      </c>
      <c r="FX26" s="1">
        <v>8582</v>
      </c>
      <c r="FY26" s="1">
        <v>1589</v>
      </c>
      <c r="FZ26">
        <v>325</v>
      </c>
      <c r="GA26">
        <v>0</v>
      </c>
      <c r="GF26" s="1">
        <v>36593</v>
      </c>
      <c r="GG26" s="1">
        <v>13194</v>
      </c>
      <c r="GH26">
        <v>264</v>
      </c>
      <c r="GI26">
        <v>12</v>
      </c>
      <c r="GJ26" s="1">
        <v>21762</v>
      </c>
      <c r="GK26" s="1">
        <v>8599</v>
      </c>
      <c r="GL26">
        <v>388</v>
      </c>
      <c r="GM26">
        <v>87</v>
      </c>
      <c r="GN26" s="1">
        <v>111078</v>
      </c>
      <c r="GO26" s="1">
        <v>26887</v>
      </c>
      <c r="GP26">
        <v>977</v>
      </c>
      <c r="GQ26">
        <v>99</v>
      </c>
      <c r="GR26">
        <v>113</v>
      </c>
      <c r="GT26" s="1">
        <v>128528</v>
      </c>
      <c r="GU26" s="1">
        <v>19750</v>
      </c>
      <c r="GV26" s="1">
        <v>113313</v>
      </c>
      <c r="GW26" s="1">
        <v>34108</v>
      </c>
      <c r="GX26" s="1">
        <v>1638</v>
      </c>
      <c r="GY26" s="1">
        <v>19819</v>
      </c>
      <c r="GZ26" s="1">
        <v>162636</v>
      </c>
      <c r="HA26" s="1">
        <v>21388</v>
      </c>
      <c r="HB26" s="1">
        <v>133132</v>
      </c>
      <c r="HC26" s="1">
        <v>317156</v>
      </c>
      <c r="HD26">
        <v>780</v>
      </c>
      <c r="HE26" s="1">
        <v>319051</v>
      </c>
      <c r="HF26" s="1">
        <v>16303</v>
      </c>
      <c r="HG26" s="1">
        <v>95738</v>
      </c>
      <c r="HH26" s="1">
        <v>1115</v>
      </c>
      <c r="HI26">
        <v>34</v>
      </c>
      <c r="HJ26" s="1">
        <v>112075</v>
      </c>
      <c r="HK26" s="1">
        <v>431126</v>
      </c>
      <c r="HL26">
        <v>23</v>
      </c>
      <c r="HM26" s="1">
        <v>40603</v>
      </c>
      <c r="HN26" s="1">
        <v>40626</v>
      </c>
      <c r="HO26">
        <v>189</v>
      </c>
      <c r="HP26" s="1">
        <v>15684</v>
      </c>
      <c r="HQ26" s="1">
        <v>15873</v>
      </c>
      <c r="HR26">
        <v>0</v>
      </c>
      <c r="HS26">
        <v>308</v>
      </c>
      <c r="HT26">
        <v>308</v>
      </c>
      <c r="HU26" s="1">
        <v>1340</v>
      </c>
      <c r="HV26" s="1">
        <v>58147</v>
      </c>
      <c r="HW26" s="1">
        <v>17145</v>
      </c>
      <c r="HX26" s="1">
        <v>41044</v>
      </c>
      <c r="HY26" s="1">
        <v>58189</v>
      </c>
      <c r="HZ26" s="1">
        <v>116336</v>
      </c>
      <c r="IA26" s="1">
        <v>32176</v>
      </c>
      <c r="IB26" s="1">
        <v>128222</v>
      </c>
      <c r="IC26" s="1">
        <v>489273</v>
      </c>
      <c r="ID26" s="1">
        <v>489273</v>
      </c>
      <c r="IE26" s="1">
        <v>547462</v>
      </c>
      <c r="IF26" s="1">
        <v>154466</v>
      </c>
      <c r="IG26" s="1">
        <v>8516</v>
      </c>
      <c r="IJ26">
        <v>1</v>
      </c>
      <c r="IK26" s="3">
        <v>3.78E-2</v>
      </c>
      <c r="IL26" s="3">
        <v>3.3E-3</v>
      </c>
      <c r="IM26" s="3">
        <v>0.2863</v>
      </c>
      <c r="IN26" s="3">
        <v>0</v>
      </c>
      <c r="IO26" s="3">
        <v>0.22869999999999999</v>
      </c>
      <c r="IP26" s="3">
        <v>2.0000000000000001E-4</v>
      </c>
      <c r="IQ26" s="3">
        <v>0.64290000000000003</v>
      </c>
      <c r="IR26" s="3">
        <v>8.4000000000000005E-2</v>
      </c>
      <c r="IS26" s="3">
        <v>0.31569999999999998</v>
      </c>
      <c r="IT26" s="1">
        <v>73504</v>
      </c>
      <c r="IU26" s="1">
        <v>33365</v>
      </c>
      <c r="IV26" s="1">
        <v>106869</v>
      </c>
      <c r="IW26" s="3">
        <v>0.67069999999999996</v>
      </c>
      <c r="IX26" s="1">
        <v>514377</v>
      </c>
      <c r="IZ26">
        <v>593</v>
      </c>
      <c r="JA26">
        <v>122</v>
      </c>
      <c r="JB26" s="1">
        <v>1288</v>
      </c>
      <c r="JC26">
        <v>47</v>
      </c>
      <c r="JD26">
        <v>76</v>
      </c>
      <c r="JE26">
        <v>682</v>
      </c>
      <c r="JF26">
        <v>640</v>
      </c>
      <c r="JG26">
        <v>198</v>
      </c>
      <c r="JH26" s="1">
        <v>1970</v>
      </c>
      <c r="JI26" s="1">
        <v>2808</v>
      </c>
      <c r="JJ26" s="1">
        <v>2003</v>
      </c>
      <c r="JK26">
        <v>805</v>
      </c>
      <c r="JL26" s="1">
        <v>16630</v>
      </c>
      <c r="JM26" s="1">
        <v>1706</v>
      </c>
      <c r="JN26" s="1">
        <v>25412</v>
      </c>
      <c r="JO26" s="1">
        <v>1299</v>
      </c>
      <c r="JP26" s="1">
        <v>2799</v>
      </c>
      <c r="JQ26" s="1">
        <v>28486</v>
      </c>
      <c r="JR26" s="1">
        <v>17929</v>
      </c>
      <c r="JS26" s="1">
        <v>4505</v>
      </c>
      <c r="JT26" s="1">
        <v>53898</v>
      </c>
      <c r="JU26" s="1">
        <v>76332</v>
      </c>
      <c r="JV26" s="1">
        <v>43748</v>
      </c>
      <c r="JW26" s="1">
        <v>32584</v>
      </c>
      <c r="JX26">
        <v>27.18</v>
      </c>
      <c r="JY26">
        <v>28.01</v>
      </c>
      <c r="JZ26">
        <v>27.36</v>
      </c>
      <c r="KA26">
        <v>0.23</v>
      </c>
      <c r="KB26">
        <v>0.71</v>
      </c>
      <c r="KC26">
        <v>83</v>
      </c>
      <c r="KD26">
        <v>751</v>
      </c>
      <c r="KE26">
        <v>391</v>
      </c>
      <c r="KF26" s="1">
        <v>2298</v>
      </c>
      <c r="KM26" s="1">
        <v>276247</v>
      </c>
      <c r="KN26" s="1">
        <v>73614</v>
      </c>
      <c r="KO26" s="1">
        <v>5271</v>
      </c>
      <c r="KQ26" s="1">
        <v>1320</v>
      </c>
      <c r="KR26" s="1">
        <v>18213</v>
      </c>
      <c r="KS26" s="1">
        <v>25232</v>
      </c>
      <c r="KT26" s="1">
        <v>10813</v>
      </c>
      <c r="KU26">
        <v>78</v>
      </c>
      <c r="KV26">
        <v>126</v>
      </c>
      <c r="KW26" s="1">
        <v>65814</v>
      </c>
      <c r="KY26" s="1">
        <v>320698</v>
      </c>
      <c r="LC26" t="s">
        <v>1022</v>
      </c>
      <c r="LD26" t="s">
        <v>709</v>
      </c>
      <c r="LE26" t="s">
        <v>1009</v>
      </c>
      <c r="LF26" t="s">
        <v>1010</v>
      </c>
      <c r="LG26">
        <v>27292</v>
      </c>
      <c r="LH26">
        <v>3239</v>
      </c>
      <c r="LI26" t="s">
        <v>1009</v>
      </c>
      <c r="LJ26" t="s">
        <v>1010</v>
      </c>
      <c r="LK26">
        <v>27292</v>
      </c>
      <c r="LL26">
        <v>3239</v>
      </c>
      <c r="LM26" t="s">
        <v>1012</v>
      </c>
      <c r="LN26">
        <v>3362422040</v>
      </c>
      <c r="LO26">
        <v>3362484122</v>
      </c>
      <c r="LP26" s="1">
        <v>67854</v>
      </c>
      <c r="LQ26">
        <v>55.54</v>
      </c>
      <c r="LS26" s="1">
        <v>16172</v>
      </c>
      <c r="LT26">
        <v>312</v>
      </c>
      <c r="LW26">
        <v>2</v>
      </c>
      <c r="LX26" t="s">
        <v>1023</v>
      </c>
      <c r="LY26">
        <v>0</v>
      </c>
      <c r="LZ26" t="s">
        <v>691</v>
      </c>
      <c r="MA26">
        <v>94.11</v>
      </c>
      <c r="MB26">
        <v>93.93</v>
      </c>
    </row>
    <row r="27" spans="1:340" x14ac:dyDescent="0.25">
      <c r="A27" t="s">
        <v>1024</v>
      </c>
      <c r="B27">
        <v>0</v>
      </c>
      <c r="C27">
        <v>1375</v>
      </c>
      <c r="D27">
        <v>2017</v>
      </c>
      <c r="E27">
        <v>0</v>
      </c>
      <c r="F27" t="s">
        <v>1024</v>
      </c>
      <c r="G27" t="s">
        <v>1025</v>
      </c>
      <c r="H27" t="s">
        <v>668</v>
      </c>
      <c r="I27" t="s">
        <v>669</v>
      </c>
      <c r="J27" t="s">
        <v>670</v>
      </c>
      <c r="K27" t="s">
        <v>671</v>
      </c>
      <c r="L27" t="s">
        <v>672</v>
      </c>
      <c r="M27" t="s">
        <v>673</v>
      </c>
      <c r="N27" s="1">
        <v>41743</v>
      </c>
      <c r="O27" t="s">
        <v>674</v>
      </c>
      <c r="P27">
        <v>163</v>
      </c>
      <c r="Q27">
        <v>46</v>
      </c>
      <c r="R27">
        <v>50</v>
      </c>
      <c r="S27">
        <v>136</v>
      </c>
      <c r="T27" s="1">
        <v>1051</v>
      </c>
      <c r="U27">
        <v>325</v>
      </c>
      <c r="V27" s="1">
        <v>11214</v>
      </c>
      <c r="W27" s="1">
        <v>1261</v>
      </c>
      <c r="X27" s="1">
        <v>148330</v>
      </c>
      <c r="Y27" s="1">
        <v>120704</v>
      </c>
      <c r="Z27" t="s">
        <v>1026</v>
      </c>
      <c r="AA27" t="s">
        <v>1027</v>
      </c>
      <c r="AB27">
        <v>27028</v>
      </c>
      <c r="AC27">
        <v>2115</v>
      </c>
      <c r="AD27" t="s">
        <v>1026</v>
      </c>
      <c r="AE27" t="s">
        <v>1027</v>
      </c>
      <c r="AF27">
        <v>27028</v>
      </c>
      <c r="AG27">
        <v>2</v>
      </c>
      <c r="AH27" t="s">
        <v>1028</v>
      </c>
      <c r="AJ27" t="s">
        <v>35</v>
      </c>
      <c r="AK27" t="s">
        <v>1029</v>
      </c>
      <c r="AL27" t="s">
        <v>1030</v>
      </c>
      <c r="AM27" t="s">
        <v>1031</v>
      </c>
      <c r="AN27" t="s">
        <v>1032</v>
      </c>
      <c r="AO27" t="s">
        <v>1033</v>
      </c>
      <c r="AP27" t="s">
        <v>1034</v>
      </c>
      <c r="AQ27" t="s">
        <v>706</v>
      </c>
      <c r="AR27" t="s">
        <v>1031</v>
      </c>
      <c r="AS27" t="s">
        <v>1032</v>
      </c>
      <c r="AT27" t="s">
        <v>1033</v>
      </c>
      <c r="AU27" t="s">
        <v>1035</v>
      </c>
      <c r="BC27">
        <v>1</v>
      </c>
      <c r="BD27">
        <v>1</v>
      </c>
      <c r="BE27">
        <v>0</v>
      </c>
      <c r="BF27">
        <v>1</v>
      </c>
      <c r="BG27">
        <v>3</v>
      </c>
      <c r="BI27" s="1">
        <v>4638</v>
      </c>
      <c r="BJ27">
        <v>1.88</v>
      </c>
      <c r="BK27">
        <v>1.41</v>
      </c>
      <c r="BL27">
        <v>3.29</v>
      </c>
      <c r="BM27">
        <v>6.66</v>
      </c>
      <c r="BN27">
        <v>9.9499999999999993</v>
      </c>
      <c r="BO27" s="3">
        <v>0.18890000000000001</v>
      </c>
      <c r="BP27" s="1">
        <v>1672</v>
      </c>
      <c r="BQ27" s="4">
        <v>62241</v>
      </c>
      <c r="BT27">
        <v>0</v>
      </c>
      <c r="CR27" s="4">
        <v>39240</v>
      </c>
      <c r="CS27" s="4">
        <v>60847</v>
      </c>
      <c r="CT27" s="4">
        <v>50043</v>
      </c>
      <c r="CV27" s="4">
        <v>39240</v>
      </c>
      <c r="CW27" s="4">
        <v>60847</v>
      </c>
      <c r="CX27" s="4">
        <v>50043</v>
      </c>
      <c r="CZ27" s="4">
        <v>39240</v>
      </c>
      <c r="DA27" s="4">
        <v>60847</v>
      </c>
      <c r="DB27" s="4">
        <v>50043</v>
      </c>
      <c r="DO27" s="4">
        <v>26558</v>
      </c>
      <c r="DP27" s="4">
        <v>41184</v>
      </c>
      <c r="DQ27" s="4">
        <v>35564</v>
      </c>
      <c r="DV27" s="4">
        <v>50021</v>
      </c>
      <c r="DW27" s="4">
        <v>428809</v>
      </c>
      <c r="DX27" s="4">
        <v>478830</v>
      </c>
      <c r="DY27" s="4">
        <v>90551</v>
      </c>
      <c r="DZ27" s="4">
        <v>0</v>
      </c>
      <c r="EA27" s="4">
        <v>90551</v>
      </c>
      <c r="EB27" s="4">
        <v>24767</v>
      </c>
      <c r="EC27" s="4">
        <v>0</v>
      </c>
      <c r="ED27" s="4">
        <v>24767</v>
      </c>
      <c r="EE27" s="4">
        <v>63213</v>
      </c>
      <c r="EF27" s="4">
        <v>657361</v>
      </c>
      <c r="EG27" s="4">
        <v>340667</v>
      </c>
      <c r="EH27" s="4">
        <v>105383</v>
      </c>
      <c r="EI27" s="4">
        <v>446050</v>
      </c>
      <c r="EJ27" s="4">
        <v>74076</v>
      </c>
      <c r="EK27" s="4">
        <v>19091</v>
      </c>
      <c r="EL27" s="4">
        <v>7850</v>
      </c>
      <c r="EM27" s="4">
        <v>101017</v>
      </c>
      <c r="EN27" s="4">
        <v>110294</v>
      </c>
      <c r="EO27" s="4">
        <v>657361</v>
      </c>
      <c r="EP27" s="4">
        <v>0</v>
      </c>
      <c r="EQ27" s="3">
        <v>0</v>
      </c>
      <c r="ER27" s="4">
        <v>0</v>
      </c>
      <c r="ES27" s="4">
        <v>0</v>
      </c>
      <c r="ET27" s="4">
        <v>0</v>
      </c>
      <c r="EU27" s="4">
        <v>0</v>
      </c>
      <c r="EV27" s="4">
        <v>0</v>
      </c>
      <c r="EW27" s="4">
        <v>0</v>
      </c>
      <c r="EX27" s="1">
        <v>11757</v>
      </c>
      <c r="EY27" s="1">
        <v>165106</v>
      </c>
      <c r="EZ27" s="1">
        <v>19735</v>
      </c>
      <c r="FA27" s="1">
        <v>2615</v>
      </c>
      <c r="FB27" s="1">
        <v>16560</v>
      </c>
      <c r="FC27" s="1">
        <v>21876</v>
      </c>
      <c r="FD27">
        <v>949</v>
      </c>
      <c r="FE27" s="1">
        <v>9674</v>
      </c>
      <c r="FF27" s="1">
        <v>41611</v>
      </c>
      <c r="FG27" s="1">
        <v>3564</v>
      </c>
      <c r="FH27" s="1">
        <v>26234</v>
      </c>
      <c r="FI27" s="1">
        <v>71409</v>
      </c>
      <c r="FJ27">
        <v>167</v>
      </c>
      <c r="FK27">
        <v>87</v>
      </c>
      <c r="FM27" s="1">
        <v>71409</v>
      </c>
      <c r="FN27" s="1">
        <v>4067</v>
      </c>
      <c r="FO27" s="1">
        <v>2416</v>
      </c>
      <c r="FP27">
        <v>54</v>
      </c>
      <c r="FQ27">
        <v>5</v>
      </c>
      <c r="FR27">
        <v>88</v>
      </c>
      <c r="FS27">
        <v>93</v>
      </c>
      <c r="FT27" s="1">
        <v>44141</v>
      </c>
      <c r="FU27" s="1">
        <v>3505</v>
      </c>
      <c r="FV27">
        <v>0</v>
      </c>
      <c r="FW27">
        <v>0</v>
      </c>
      <c r="FX27" s="1">
        <v>8544</v>
      </c>
      <c r="FY27" s="1">
        <v>1573</v>
      </c>
      <c r="FZ27">
        <v>322</v>
      </c>
      <c r="GA27">
        <v>0</v>
      </c>
      <c r="GB27" s="1">
        <v>26436</v>
      </c>
      <c r="GC27" s="1">
        <v>1747</v>
      </c>
      <c r="GD27">
        <v>278</v>
      </c>
      <c r="GJ27">
        <v>245</v>
      </c>
      <c r="GK27">
        <v>22</v>
      </c>
      <c r="GL27">
        <v>0</v>
      </c>
      <c r="GM27">
        <v>0</v>
      </c>
      <c r="GN27" s="1">
        <v>79366</v>
      </c>
      <c r="GO27" s="1">
        <v>6847</v>
      </c>
      <c r="GP27">
        <v>600</v>
      </c>
      <c r="GQ27">
        <v>0</v>
      </c>
      <c r="GR27">
        <v>36</v>
      </c>
      <c r="GT27" s="1">
        <v>24149</v>
      </c>
      <c r="GU27" s="1">
        <v>2566</v>
      </c>
      <c r="GV27" s="1">
        <v>29324</v>
      </c>
      <c r="GW27" s="1">
        <v>8248</v>
      </c>
      <c r="GX27">
        <v>267</v>
      </c>
      <c r="GY27" s="1">
        <v>6811</v>
      </c>
      <c r="GZ27" s="1">
        <v>32397</v>
      </c>
      <c r="HA27" s="1">
        <v>2833</v>
      </c>
      <c r="HB27" s="1">
        <v>36135</v>
      </c>
      <c r="HC27" s="1">
        <v>71365</v>
      </c>
      <c r="HD27">
        <v>0</v>
      </c>
      <c r="HE27" s="1">
        <v>72734</v>
      </c>
      <c r="HF27" s="1">
        <v>4545</v>
      </c>
      <c r="HG27" s="1">
        <v>7323</v>
      </c>
      <c r="HH27" s="1">
        <v>1369</v>
      </c>
      <c r="HI27" s="1">
        <v>1420</v>
      </c>
      <c r="HJ27" s="1">
        <v>13288</v>
      </c>
      <c r="HK27" s="1">
        <v>86022</v>
      </c>
      <c r="HL27">
        <v>15</v>
      </c>
      <c r="HM27" s="1">
        <v>9309</v>
      </c>
      <c r="HN27" s="1">
        <v>9324</v>
      </c>
      <c r="HO27">
        <v>5</v>
      </c>
      <c r="HP27" s="1">
        <v>1587</v>
      </c>
      <c r="HQ27" s="1">
        <v>1592</v>
      </c>
      <c r="HR27">
        <v>0</v>
      </c>
      <c r="HS27">
        <v>30</v>
      </c>
      <c r="HT27">
        <v>30</v>
      </c>
      <c r="HU27">
        <v>177</v>
      </c>
      <c r="HV27" s="1">
        <v>11123</v>
      </c>
      <c r="HW27" s="1">
        <v>3290</v>
      </c>
      <c r="HX27" s="1">
        <v>14858</v>
      </c>
      <c r="HY27" s="1">
        <v>18148</v>
      </c>
      <c r="HZ27" s="1">
        <v>29271</v>
      </c>
      <c r="IA27" s="1">
        <v>6137</v>
      </c>
      <c r="IB27" s="1">
        <v>13490</v>
      </c>
      <c r="IC27" s="1">
        <v>97145</v>
      </c>
      <c r="ID27" s="1">
        <v>97145</v>
      </c>
      <c r="IE27" s="1">
        <v>115293</v>
      </c>
      <c r="IF27" s="1">
        <v>42740</v>
      </c>
      <c r="IG27" s="1">
        <v>6045</v>
      </c>
      <c r="IJ27">
        <v>1</v>
      </c>
      <c r="IK27" s="3">
        <v>1.83E-2</v>
      </c>
      <c r="IL27" s="3">
        <v>5.0000000000000001E-4</v>
      </c>
      <c r="IM27" s="3">
        <v>0.52580000000000005</v>
      </c>
      <c r="IN27" s="3">
        <v>0</v>
      </c>
      <c r="IO27" s="3">
        <v>0.48070000000000002</v>
      </c>
      <c r="IP27" s="3">
        <v>5.9999999999999995E-4</v>
      </c>
      <c r="IQ27" s="3">
        <v>0.4325</v>
      </c>
      <c r="IR27" s="3">
        <v>6.6100000000000006E-2</v>
      </c>
      <c r="IS27" s="3">
        <v>0.44</v>
      </c>
      <c r="IT27" s="1">
        <v>12264</v>
      </c>
      <c r="IU27" s="1">
        <v>9862</v>
      </c>
      <c r="IV27" s="1">
        <v>22126</v>
      </c>
      <c r="IW27" s="3">
        <v>0.53010000000000002</v>
      </c>
      <c r="IX27" s="1">
        <v>59070</v>
      </c>
      <c r="IZ27">
        <v>10</v>
      </c>
      <c r="JA27">
        <v>34</v>
      </c>
      <c r="JB27">
        <v>164</v>
      </c>
      <c r="JC27">
        <v>9</v>
      </c>
      <c r="JD27">
        <v>2</v>
      </c>
      <c r="JE27">
        <v>653</v>
      </c>
      <c r="JF27">
        <v>19</v>
      </c>
      <c r="JG27">
        <v>36</v>
      </c>
      <c r="JH27">
        <v>817</v>
      </c>
      <c r="JI27">
        <v>872</v>
      </c>
      <c r="JJ27">
        <v>208</v>
      </c>
      <c r="JK27">
        <v>664</v>
      </c>
      <c r="JL27">
        <v>136</v>
      </c>
      <c r="JM27">
        <v>325</v>
      </c>
      <c r="JN27" s="1">
        <v>2631</v>
      </c>
      <c r="JO27">
        <v>53</v>
      </c>
      <c r="JP27">
        <v>38</v>
      </c>
      <c r="JQ27" s="1">
        <v>17575</v>
      </c>
      <c r="JR27">
        <v>189</v>
      </c>
      <c r="JS27">
        <v>363</v>
      </c>
      <c r="JT27" s="1">
        <v>20206</v>
      </c>
      <c r="JU27" s="1">
        <v>20758</v>
      </c>
      <c r="JV27" s="1">
        <v>3092</v>
      </c>
      <c r="JW27" s="1">
        <v>17666</v>
      </c>
      <c r="JX27">
        <v>23.81</v>
      </c>
      <c r="JY27">
        <v>9.9499999999999993</v>
      </c>
      <c r="JZ27">
        <v>24.73</v>
      </c>
      <c r="KA27">
        <v>0.01</v>
      </c>
      <c r="KB27">
        <v>0.97</v>
      </c>
      <c r="KC27">
        <v>36</v>
      </c>
      <c r="KD27">
        <v>225</v>
      </c>
      <c r="KE27">
        <v>8</v>
      </c>
      <c r="KF27">
        <v>63</v>
      </c>
      <c r="KG27">
        <v>728</v>
      </c>
      <c r="KH27" s="1">
        <v>11629</v>
      </c>
      <c r="KI27">
        <v>39</v>
      </c>
      <c r="KJ27">
        <v>306</v>
      </c>
      <c r="KK27">
        <v>2</v>
      </c>
      <c r="KL27">
        <v>31</v>
      </c>
      <c r="KM27" s="1">
        <v>4412</v>
      </c>
      <c r="KN27" s="1">
        <v>2749</v>
      </c>
      <c r="KO27" s="1">
        <v>1532</v>
      </c>
      <c r="KQ27" s="1">
        <v>1185</v>
      </c>
      <c r="KR27" s="1">
        <v>6655</v>
      </c>
      <c r="KS27" s="1">
        <v>5192</v>
      </c>
      <c r="KT27" s="1">
        <v>2167</v>
      </c>
      <c r="KU27">
        <v>17</v>
      </c>
      <c r="KV27">
        <v>44</v>
      </c>
      <c r="KW27" s="1">
        <v>12520</v>
      </c>
      <c r="KY27" s="1">
        <v>18017</v>
      </c>
      <c r="KZ27" s="1">
        <v>6952</v>
      </c>
      <c r="LC27" t="s">
        <v>1028</v>
      </c>
      <c r="LD27" t="s">
        <v>709</v>
      </c>
      <c r="LE27" t="s">
        <v>1026</v>
      </c>
      <c r="LF27" t="s">
        <v>1027</v>
      </c>
      <c r="LG27">
        <v>27028</v>
      </c>
      <c r="LH27">
        <v>2115</v>
      </c>
      <c r="LI27" t="s">
        <v>1026</v>
      </c>
      <c r="LJ27" t="s">
        <v>1027</v>
      </c>
      <c r="LK27">
        <v>27028</v>
      </c>
      <c r="LL27">
        <v>2115</v>
      </c>
      <c r="LM27" t="s">
        <v>1029</v>
      </c>
      <c r="LN27">
        <v>3367536030</v>
      </c>
      <c r="LO27">
        <v>3367511370</v>
      </c>
      <c r="LP27" s="1">
        <v>18120</v>
      </c>
      <c r="LQ27">
        <v>9.94</v>
      </c>
      <c r="LS27" s="1">
        <v>4638</v>
      </c>
      <c r="LT27">
        <v>104</v>
      </c>
      <c r="LW27">
        <v>2</v>
      </c>
      <c r="LX27" t="s">
        <v>1036</v>
      </c>
      <c r="LY27">
        <v>0</v>
      </c>
      <c r="LZ27" t="s">
        <v>691</v>
      </c>
      <c r="MA27">
        <v>19</v>
      </c>
      <c r="MB27">
        <v>103</v>
      </c>
    </row>
    <row r="28" spans="1:340" x14ac:dyDescent="0.25">
      <c r="A28" t="s">
        <v>1037</v>
      </c>
      <c r="B28">
        <v>0</v>
      </c>
      <c r="C28">
        <v>1375</v>
      </c>
      <c r="D28">
        <v>2017</v>
      </c>
      <c r="E28">
        <v>0</v>
      </c>
      <c r="F28" t="s">
        <v>1037</v>
      </c>
      <c r="G28" t="s">
        <v>1038</v>
      </c>
      <c r="H28" t="s">
        <v>668</v>
      </c>
      <c r="I28" t="s">
        <v>669</v>
      </c>
      <c r="J28" t="s">
        <v>670</v>
      </c>
      <c r="K28" t="s">
        <v>671</v>
      </c>
      <c r="L28" t="s">
        <v>672</v>
      </c>
      <c r="M28" t="s">
        <v>673</v>
      </c>
      <c r="N28" s="1">
        <v>59868</v>
      </c>
      <c r="O28" t="s">
        <v>674</v>
      </c>
      <c r="P28">
        <v>115</v>
      </c>
      <c r="Q28">
        <v>0</v>
      </c>
      <c r="R28">
        <v>16</v>
      </c>
      <c r="S28">
        <v>0</v>
      </c>
      <c r="T28">
        <v>565</v>
      </c>
      <c r="U28">
        <v>0</v>
      </c>
      <c r="V28" s="1">
        <v>10449</v>
      </c>
      <c r="W28">
        <v>0</v>
      </c>
      <c r="X28" s="1">
        <v>2500</v>
      </c>
      <c r="Y28">
        <v>0</v>
      </c>
      <c r="Z28" t="s">
        <v>1039</v>
      </c>
      <c r="AA28" t="s">
        <v>1040</v>
      </c>
      <c r="AB28">
        <v>28349</v>
      </c>
      <c r="AC28">
        <v>930</v>
      </c>
      <c r="AD28" t="s">
        <v>1041</v>
      </c>
      <c r="AE28" t="s">
        <v>1040</v>
      </c>
      <c r="AF28">
        <v>28349</v>
      </c>
      <c r="AG28">
        <v>2</v>
      </c>
      <c r="AH28" t="s">
        <v>1042</v>
      </c>
      <c r="AJ28" t="s">
        <v>35</v>
      </c>
      <c r="AK28" t="s">
        <v>1043</v>
      </c>
      <c r="AL28" t="s">
        <v>1044</v>
      </c>
      <c r="AM28" t="s">
        <v>1045</v>
      </c>
      <c r="AN28" t="s">
        <v>1046</v>
      </c>
      <c r="AO28" t="s">
        <v>1047</v>
      </c>
      <c r="AP28" t="s">
        <v>1048</v>
      </c>
      <c r="AQ28" t="s">
        <v>1049</v>
      </c>
      <c r="AR28" t="s">
        <v>1045</v>
      </c>
      <c r="AS28" t="s">
        <v>1046</v>
      </c>
      <c r="AT28" t="s">
        <v>1047</v>
      </c>
      <c r="AU28" t="s">
        <v>1050</v>
      </c>
      <c r="BC28">
        <v>1</v>
      </c>
      <c r="BD28">
        <v>5</v>
      </c>
      <c r="BE28">
        <v>0</v>
      </c>
      <c r="BF28">
        <v>0</v>
      </c>
      <c r="BG28">
        <v>6</v>
      </c>
      <c r="BI28" s="1">
        <v>7624</v>
      </c>
      <c r="BJ28">
        <v>0</v>
      </c>
      <c r="BK28">
        <v>1</v>
      </c>
      <c r="BL28">
        <v>1</v>
      </c>
      <c r="BM28">
        <v>8</v>
      </c>
      <c r="BN28">
        <v>9</v>
      </c>
      <c r="BO28" s="3">
        <v>0</v>
      </c>
      <c r="BP28">
        <v>0</v>
      </c>
      <c r="BQ28" s="4">
        <v>48060</v>
      </c>
      <c r="BU28" s="4">
        <v>26533</v>
      </c>
      <c r="BV28" s="4">
        <v>47118</v>
      </c>
      <c r="BW28" s="4">
        <v>26013</v>
      </c>
      <c r="CR28" s="4">
        <v>28720</v>
      </c>
      <c r="CS28" s="4">
        <v>51003</v>
      </c>
      <c r="CT28" s="4">
        <v>30476</v>
      </c>
      <c r="DO28" s="4">
        <v>23579</v>
      </c>
      <c r="DP28" s="4">
        <v>41873</v>
      </c>
      <c r="DQ28" s="4">
        <v>23940</v>
      </c>
      <c r="DV28" s="4">
        <v>38060</v>
      </c>
      <c r="DW28" s="4">
        <v>483179</v>
      </c>
      <c r="DX28" s="4">
        <v>521239</v>
      </c>
      <c r="DY28" s="4">
        <v>122312</v>
      </c>
      <c r="DZ28" s="4">
        <v>0</v>
      </c>
      <c r="EA28" s="4">
        <v>122312</v>
      </c>
      <c r="EB28" s="4">
        <v>1168</v>
      </c>
      <c r="EC28" s="4">
        <v>0</v>
      </c>
      <c r="ED28" s="4">
        <v>1168</v>
      </c>
      <c r="EE28" s="4">
        <v>0</v>
      </c>
      <c r="EF28" s="4">
        <v>644719</v>
      </c>
      <c r="EG28" s="4">
        <v>282785</v>
      </c>
      <c r="EH28" s="4">
        <v>102826</v>
      </c>
      <c r="EI28" s="4">
        <v>385611</v>
      </c>
      <c r="EJ28" s="4">
        <v>80475</v>
      </c>
      <c r="EK28" s="4">
        <v>6000</v>
      </c>
      <c r="EL28" s="4">
        <v>26325</v>
      </c>
      <c r="EM28" s="4">
        <v>112800</v>
      </c>
      <c r="EN28" s="4">
        <v>84400</v>
      </c>
      <c r="EO28" s="4">
        <v>582811</v>
      </c>
      <c r="EP28" s="4">
        <v>61908</v>
      </c>
      <c r="EQ28" s="3">
        <v>9.6000000000000002E-2</v>
      </c>
      <c r="ER28" s="4">
        <v>0</v>
      </c>
      <c r="ES28" s="4">
        <v>0</v>
      </c>
      <c r="ET28" s="4">
        <v>0</v>
      </c>
      <c r="EU28" s="4">
        <v>0</v>
      </c>
      <c r="EV28" s="4">
        <v>0</v>
      </c>
      <c r="EW28" s="4">
        <v>0</v>
      </c>
      <c r="EX28" s="1">
        <v>12596</v>
      </c>
      <c r="EY28" s="1">
        <v>175652</v>
      </c>
      <c r="EZ28" s="1">
        <v>28924</v>
      </c>
      <c r="FA28" s="1">
        <v>1140</v>
      </c>
      <c r="FB28" s="1">
        <v>18780</v>
      </c>
      <c r="FC28" s="1">
        <v>17915</v>
      </c>
      <c r="FD28">
        <v>0</v>
      </c>
      <c r="FE28" s="1">
        <v>14062</v>
      </c>
      <c r="FF28" s="1">
        <v>46839</v>
      </c>
      <c r="FG28" s="1">
        <v>1140</v>
      </c>
      <c r="FH28" s="1">
        <v>32842</v>
      </c>
      <c r="FI28" s="1">
        <v>80821</v>
      </c>
      <c r="FJ28">
        <v>2</v>
      </c>
      <c r="FK28">
        <v>44</v>
      </c>
      <c r="FM28" s="1">
        <v>80821</v>
      </c>
      <c r="FN28" s="1">
        <v>2463</v>
      </c>
      <c r="FO28" s="1">
        <v>4881</v>
      </c>
      <c r="FP28">
        <v>808</v>
      </c>
      <c r="FQ28">
        <v>0</v>
      </c>
      <c r="FR28">
        <v>88</v>
      </c>
      <c r="FS28">
        <v>88</v>
      </c>
      <c r="FT28" s="1">
        <v>44141</v>
      </c>
      <c r="FU28" s="1">
        <v>3505</v>
      </c>
      <c r="FV28">
        <v>0</v>
      </c>
      <c r="FW28">
        <v>0</v>
      </c>
      <c r="FX28" s="1">
        <v>8544</v>
      </c>
      <c r="FY28" s="1">
        <v>1573</v>
      </c>
      <c r="FZ28">
        <v>322</v>
      </c>
      <c r="GA28">
        <v>0</v>
      </c>
      <c r="GB28" s="1">
        <v>26436</v>
      </c>
      <c r="GC28" s="1">
        <v>1747</v>
      </c>
      <c r="GD28">
        <v>278</v>
      </c>
      <c r="GE28">
        <v>0</v>
      </c>
      <c r="GJ28">
        <v>0</v>
      </c>
      <c r="GK28">
        <v>0</v>
      </c>
      <c r="GL28">
        <v>0</v>
      </c>
      <c r="GM28">
        <v>-1</v>
      </c>
      <c r="GN28" s="1">
        <v>79121</v>
      </c>
      <c r="GO28" s="1">
        <v>6825</v>
      </c>
      <c r="GP28">
        <v>600</v>
      </c>
      <c r="GQ28">
        <v>-1</v>
      </c>
      <c r="GR28">
        <v>10</v>
      </c>
      <c r="GT28" s="1">
        <v>21532</v>
      </c>
      <c r="GU28" s="1">
        <v>1037</v>
      </c>
      <c r="GV28" s="1">
        <v>11848</v>
      </c>
      <c r="GW28" s="1">
        <v>6143</v>
      </c>
      <c r="GX28">
        <v>0</v>
      </c>
      <c r="GY28" s="1">
        <v>3242</v>
      </c>
      <c r="GZ28" s="1">
        <v>27675</v>
      </c>
      <c r="HA28" s="1">
        <v>1037</v>
      </c>
      <c r="HB28" s="1">
        <v>15090</v>
      </c>
      <c r="HC28" s="1">
        <v>43802</v>
      </c>
      <c r="HD28">
        <v>462</v>
      </c>
      <c r="HE28" s="1">
        <v>44264</v>
      </c>
      <c r="HF28" s="1">
        <v>1864</v>
      </c>
      <c r="HG28" s="1">
        <v>12441</v>
      </c>
      <c r="HH28">
        <v>0</v>
      </c>
      <c r="HI28">
        <v>0</v>
      </c>
      <c r="HJ28" s="1">
        <v>14305</v>
      </c>
      <c r="HK28" s="1">
        <v>58569</v>
      </c>
      <c r="HL28">
        <v>31</v>
      </c>
      <c r="HM28" s="1">
        <v>4080</v>
      </c>
      <c r="HN28" s="1">
        <v>4111</v>
      </c>
      <c r="HO28">
        <v>2</v>
      </c>
      <c r="HP28">
        <v>467</v>
      </c>
      <c r="HQ28">
        <v>469</v>
      </c>
      <c r="HR28">
        <v>0</v>
      </c>
      <c r="HS28">
        <v>11</v>
      </c>
      <c r="HT28">
        <v>11</v>
      </c>
      <c r="HU28">
        <v>95</v>
      </c>
      <c r="HV28" s="1">
        <v>4686</v>
      </c>
      <c r="HW28" s="1">
        <v>2015</v>
      </c>
      <c r="HX28">
        <v>0</v>
      </c>
      <c r="HY28" s="1">
        <v>2015</v>
      </c>
      <c r="HZ28" s="1">
        <v>6701</v>
      </c>
      <c r="IA28" s="1">
        <v>2333</v>
      </c>
      <c r="IB28" s="1">
        <v>14785</v>
      </c>
      <c r="IC28" s="1">
        <v>63255</v>
      </c>
      <c r="ID28" s="1">
        <v>63255</v>
      </c>
      <c r="IE28" s="1">
        <v>65270</v>
      </c>
      <c r="IF28" s="1">
        <v>15090</v>
      </c>
      <c r="IG28">
        <v>0</v>
      </c>
      <c r="IJ28">
        <v>3</v>
      </c>
      <c r="IK28" s="3">
        <v>3.1199999999999999E-2</v>
      </c>
      <c r="IL28" s="3">
        <v>2.9999999999999997E-4</v>
      </c>
      <c r="IM28" s="3">
        <v>0.49270000000000003</v>
      </c>
      <c r="IN28" s="3">
        <v>0</v>
      </c>
      <c r="IO28" s="3">
        <v>0.45040000000000002</v>
      </c>
      <c r="IP28" s="3">
        <v>5.0000000000000001E-4</v>
      </c>
      <c r="IQ28" s="3">
        <v>0.46010000000000001</v>
      </c>
      <c r="IR28" s="3">
        <v>5.2900000000000003E-2</v>
      </c>
      <c r="IS28" s="3">
        <v>0.23860000000000001</v>
      </c>
      <c r="IT28" s="1">
        <v>3319</v>
      </c>
      <c r="IU28" s="1">
        <v>1051</v>
      </c>
      <c r="IV28" s="1">
        <v>4370</v>
      </c>
      <c r="IW28" s="3">
        <v>7.2999999999999995E-2</v>
      </c>
      <c r="IX28" s="1">
        <v>31718</v>
      </c>
      <c r="IZ28">
        <v>3</v>
      </c>
      <c r="JA28">
        <v>0</v>
      </c>
      <c r="JB28">
        <v>126</v>
      </c>
      <c r="JC28">
        <v>0</v>
      </c>
      <c r="JD28">
        <v>0</v>
      </c>
      <c r="JE28">
        <v>2</v>
      </c>
      <c r="JF28">
        <v>3</v>
      </c>
      <c r="JG28">
        <v>0</v>
      </c>
      <c r="JH28">
        <v>128</v>
      </c>
      <c r="JI28">
        <v>131</v>
      </c>
      <c r="JJ28">
        <v>129</v>
      </c>
      <c r="JK28">
        <v>2</v>
      </c>
      <c r="JL28">
        <v>4</v>
      </c>
      <c r="JM28">
        <v>0</v>
      </c>
      <c r="JN28" s="1">
        <v>2864</v>
      </c>
      <c r="JO28">
        <v>0</v>
      </c>
      <c r="JP28">
        <v>0</v>
      </c>
      <c r="JQ28">
        <v>765</v>
      </c>
      <c r="JR28">
        <v>4</v>
      </c>
      <c r="JS28">
        <v>0</v>
      </c>
      <c r="JT28" s="1">
        <v>3629</v>
      </c>
      <c r="JU28" s="1">
        <v>3633</v>
      </c>
      <c r="JV28" s="1">
        <v>2868</v>
      </c>
      <c r="JW28">
        <v>765</v>
      </c>
      <c r="JX28">
        <v>27.73</v>
      </c>
      <c r="JY28">
        <v>1.33</v>
      </c>
      <c r="JZ28">
        <v>28.35</v>
      </c>
      <c r="KA28">
        <v>0</v>
      </c>
      <c r="KB28">
        <v>1</v>
      </c>
      <c r="KC28">
        <v>2</v>
      </c>
      <c r="KD28">
        <v>4</v>
      </c>
      <c r="KE28">
        <v>1</v>
      </c>
      <c r="KF28">
        <v>4</v>
      </c>
      <c r="KM28" s="1">
        <v>4364</v>
      </c>
      <c r="KN28" s="1">
        <v>3016</v>
      </c>
      <c r="KO28">
        <v>156</v>
      </c>
      <c r="KQ28">
        <v>122</v>
      </c>
      <c r="KR28">
        <v>831</v>
      </c>
      <c r="KS28">
        <v>13</v>
      </c>
      <c r="KT28">
        <v>33</v>
      </c>
      <c r="KU28">
        <v>14</v>
      </c>
      <c r="KV28">
        <v>42</v>
      </c>
      <c r="KW28" s="1">
        <v>7965</v>
      </c>
      <c r="LC28" t="s">
        <v>1051</v>
      </c>
      <c r="LD28" t="s">
        <v>709</v>
      </c>
      <c r="LE28" t="s">
        <v>1039</v>
      </c>
      <c r="LF28" t="s">
        <v>1040</v>
      </c>
      <c r="LG28">
        <v>28349</v>
      </c>
      <c r="LH28">
        <v>930</v>
      </c>
      <c r="LI28" t="s">
        <v>1041</v>
      </c>
      <c r="LJ28" t="s">
        <v>1040</v>
      </c>
      <c r="LK28">
        <v>28349</v>
      </c>
      <c r="LL28">
        <v>930</v>
      </c>
      <c r="LM28" t="s">
        <v>1043</v>
      </c>
      <c r="LN28">
        <v>9102962117</v>
      </c>
      <c r="LO28" t="s">
        <v>1046</v>
      </c>
      <c r="LP28" s="1">
        <v>14634</v>
      </c>
      <c r="LQ28">
        <v>10.35</v>
      </c>
      <c r="LS28" s="1">
        <v>7624</v>
      </c>
      <c r="LT28">
        <v>312</v>
      </c>
      <c r="LW28">
        <v>2</v>
      </c>
      <c r="LX28" t="s">
        <v>1052</v>
      </c>
      <c r="LY28">
        <v>0</v>
      </c>
      <c r="LZ28" t="s">
        <v>691</v>
      </c>
      <c r="MA28">
        <v>30</v>
      </c>
      <c r="MB28">
        <v>30</v>
      </c>
    </row>
    <row r="29" spans="1:340" x14ac:dyDescent="0.25">
      <c r="A29" t="s">
        <v>1053</v>
      </c>
      <c r="B29">
        <v>0</v>
      </c>
      <c r="C29">
        <v>1375</v>
      </c>
      <c r="D29">
        <v>2017</v>
      </c>
      <c r="E29">
        <v>0</v>
      </c>
      <c r="F29" t="s">
        <v>1053</v>
      </c>
      <c r="G29" t="s">
        <v>1054</v>
      </c>
      <c r="H29" t="s">
        <v>668</v>
      </c>
      <c r="I29" t="s">
        <v>669</v>
      </c>
      <c r="J29" t="s">
        <v>670</v>
      </c>
      <c r="K29" t="s">
        <v>671</v>
      </c>
      <c r="L29" t="s">
        <v>791</v>
      </c>
      <c r="M29" t="s">
        <v>673</v>
      </c>
      <c r="N29" s="1">
        <v>294109</v>
      </c>
      <c r="O29" t="s">
        <v>674</v>
      </c>
      <c r="P29" s="1">
        <v>2616</v>
      </c>
      <c r="Q29">
        <v>496</v>
      </c>
      <c r="R29">
        <v>559</v>
      </c>
      <c r="S29">
        <v>144</v>
      </c>
      <c r="T29" s="1">
        <v>21626</v>
      </c>
      <c r="U29" s="1">
        <v>1590</v>
      </c>
      <c r="V29" s="1">
        <v>264371</v>
      </c>
      <c r="W29" s="1">
        <v>23327</v>
      </c>
      <c r="X29" s="1">
        <v>1066945</v>
      </c>
      <c r="Y29" s="1">
        <v>300987</v>
      </c>
      <c r="Z29" t="s">
        <v>1055</v>
      </c>
      <c r="AA29" t="s">
        <v>1056</v>
      </c>
      <c r="AB29">
        <v>22701</v>
      </c>
      <c r="AC29">
        <v>3414</v>
      </c>
      <c r="AD29" t="s">
        <v>1055</v>
      </c>
      <c r="AE29" t="s">
        <v>1056</v>
      </c>
      <c r="AF29">
        <v>27701</v>
      </c>
      <c r="AG29">
        <v>3</v>
      </c>
      <c r="AH29" t="s">
        <v>1057</v>
      </c>
      <c r="AJ29" t="s">
        <v>35</v>
      </c>
      <c r="AK29" t="s">
        <v>1056</v>
      </c>
      <c r="AL29" t="s">
        <v>1058</v>
      </c>
      <c r="AM29" t="s">
        <v>1059</v>
      </c>
      <c r="AN29" t="s">
        <v>1060</v>
      </c>
      <c r="AO29" t="s">
        <v>1061</v>
      </c>
      <c r="AP29" t="s">
        <v>1062</v>
      </c>
      <c r="AQ29" t="s">
        <v>1063</v>
      </c>
      <c r="AR29" t="s">
        <v>1064</v>
      </c>
      <c r="AS29" t="s">
        <v>1065</v>
      </c>
      <c r="AT29" t="s">
        <v>1066</v>
      </c>
      <c r="AU29" t="s">
        <v>1067</v>
      </c>
      <c r="BC29">
        <v>0</v>
      </c>
      <c r="BD29">
        <v>7</v>
      </c>
      <c r="BE29">
        <v>1</v>
      </c>
      <c r="BF29">
        <v>2</v>
      </c>
      <c r="BG29">
        <v>10</v>
      </c>
      <c r="BI29" s="1">
        <v>18114</v>
      </c>
      <c r="BJ29">
        <v>49.77</v>
      </c>
      <c r="BK29">
        <v>1</v>
      </c>
      <c r="BL29">
        <v>50.77</v>
      </c>
      <c r="BM29">
        <v>77.03</v>
      </c>
      <c r="BN29">
        <v>127.8</v>
      </c>
      <c r="BO29" s="3">
        <v>0.38940000000000002</v>
      </c>
      <c r="BP29" s="1">
        <v>6834</v>
      </c>
      <c r="BQ29" s="4">
        <v>125604</v>
      </c>
      <c r="BT29" s="1">
        <v>86004</v>
      </c>
      <c r="BU29" s="4">
        <v>43560</v>
      </c>
      <c r="BV29" s="4">
        <v>94873</v>
      </c>
      <c r="BW29" s="4">
        <v>67291</v>
      </c>
      <c r="BY29" s="4">
        <v>43560</v>
      </c>
      <c r="BZ29" s="4">
        <v>78408</v>
      </c>
      <c r="CA29" s="4">
        <v>61334</v>
      </c>
      <c r="CC29" s="4">
        <v>43560</v>
      </c>
      <c r="CD29" s="4">
        <v>78408</v>
      </c>
      <c r="CE29" s="1">
        <v>47850</v>
      </c>
      <c r="CG29" s="4">
        <v>36000</v>
      </c>
      <c r="CH29" s="4">
        <v>86248</v>
      </c>
      <c r="CI29" s="4">
        <v>64614</v>
      </c>
      <c r="CO29" s="4">
        <v>43560</v>
      </c>
      <c r="CP29" s="4">
        <v>106920</v>
      </c>
      <c r="CQ29" s="4">
        <v>66536</v>
      </c>
      <c r="CR29" s="4">
        <v>36000</v>
      </c>
      <c r="CS29" s="4">
        <v>64800</v>
      </c>
      <c r="CT29" s="4">
        <v>52154</v>
      </c>
      <c r="CV29" s="4">
        <v>36000</v>
      </c>
      <c r="CW29" s="4">
        <v>64800</v>
      </c>
      <c r="CX29" s="4">
        <v>38462</v>
      </c>
      <c r="CZ29" s="4">
        <v>36000</v>
      </c>
      <c r="DA29" s="4">
        <v>64800</v>
      </c>
      <c r="DB29" s="4">
        <v>46992</v>
      </c>
      <c r="DH29" s="4">
        <v>36000</v>
      </c>
      <c r="DI29" s="4">
        <v>64800</v>
      </c>
      <c r="DJ29" s="4">
        <v>44436</v>
      </c>
      <c r="DK29" s="4">
        <v>32210</v>
      </c>
      <c r="DL29" s="4">
        <v>71280</v>
      </c>
      <c r="DM29" s="4">
        <v>38918</v>
      </c>
      <c r="DO29" s="4">
        <v>26620</v>
      </c>
      <c r="DP29" s="4">
        <v>47916</v>
      </c>
      <c r="DQ29" s="4">
        <v>30823</v>
      </c>
      <c r="DS29" s="4">
        <v>39600</v>
      </c>
      <c r="DT29" s="4">
        <v>78408</v>
      </c>
      <c r="DU29" s="4">
        <v>50588</v>
      </c>
      <c r="DV29" s="4">
        <v>0</v>
      </c>
      <c r="DW29" s="4">
        <v>11317640</v>
      </c>
      <c r="DX29" s="4">
        <v>11317640</v>
      </c>
      <c r="DY29" s="4">
        <v>235086</v>
      </c>
      <c r="DZ29" s="4">
        <v>0</v>
      </c>
      <c r="EA29" s="4">
        <v>235086</v>
      </c>
      <c r="EB29" s="4">
        <v>53800</v>
      </c>
      <c r="EC29" s="4">
        <v>0</v>
      </c>
      <c r="ED29" s="4">
        <v>53800</v>
      </c>
      <c r="EE29" s="4">
        <v>0</v>
      </c>
      <c r="EF29" s="4">
        <v>11606526</v>
      </c>
      <c r="EG29" s="4">
        <v>5760352</v>
      </c>
      <c r="EH29" s="4">
        <v>2202126</v>
      </c>
      <c r="EI29" s="4">
        <v>7962478</v>
      </c>
      <c r="EJ29" s="4">
        <v>905896</v>
      </c>
      <c r="EK29" s="4">
        <v>475075</v>
      </c>
      <c r="EL29" s="4">
        <v>330913</v>
      </c>
      <c r="EM29" s="4">
        <v>1711884</v>
      </c>
      <c r="EN29" s="4">
        <v>1223907</v>
      </c>
      <c r="EO29" s="4">
        <v>10898269</v>
      </c>
      <c r="EP29" s="4">
        <v>708257</v>
      </c>
      <c r="EQ29" s="3">
        <v>6.0999999999999999E-2</v>
      </c>
      <c r="ER29" s="4">
        <v>46587988</v>
      </c>
      <c r="ES29" s="4">
        <v>0</v>
      </c>
      <c r="ET29" s="4">
        <v>0</v>
      </c>
      <c r="EU29" s="4">
        <v>0</v>
      </c>
      <c r="EV29" s="4">
        <v>46587988</v>
      </c>
      <c r="EW29" s="4">
        <v>1951882</v>
      </c>
      <c r="EX29" s="1">
        <v>102585</v>
      </c>
      <c r="EY29" s="1">
        <v>732566</v>
      </c>
      <c r="EZ29" s="1">
        <v>175030</v>
      </c>
      <c r="FA29" s="1">
        <v>22673</v>
      </c>
      <c r="FB29" s="1">
        <v>165495</v>
      </c>
      <c r="FC29" s="1">
        <v>115702</v>
      </c>
      <c r="FD29" s="1">
        <v>3178</v>
      </c>
      <c r="FE29" s="1">
        <v>56888</v>
      </c>
      <c r="FF29" s="1">
        <v>290732</v>
      </c>
      <c r="FG29" s="1">
        <v>25851</v>
      </c>
      <c r="FH29" s="1">
        <v>222383</v>
      </c>
      <c r="FI29" s="1">
        <v>538966</v>
      </c>
      <c r="FJ29">
        <v>9</v>
      </c>
      <c r="FK29">
        <v>432</v>
      </c>
      <c r="FM29" s="1">
        <v>538966</v>
      </c>
      <c r="FN29" s="1">
        <v>46532</v>
      </c>
      <c r="FO29" s="1">
        <v>48931</v>
      </c>
      <c r="FP29" s="1">
        <v>20781</v>
      </c>
      <c r="FQ29">
        <v>21</v>
      </c>
      <c r="FR29">
        <v>88</v>
      </c>
      <c r="FS29">
        <v>109</v>
      </c>
      <c r="FT29" s="1">
        <v>44141</v>
      </c>
      <c r="FU29" s="1">
        <v>3505</v>
      </c>
      <c r="FV29">
        <v>0</v>
      </c>
      <c r="FW29">
        <v>0</v>
      </c>
      <c r="FX29" s="1">
        <v>8544</v>
      </c>
      <c r="FY29" s="1">
        <v>1573</v>
      </c>
      <c r="FZ29">
        <v>322</v>
      </c>
      <c r="GA29">
        <v>0</v>
      </c>
      <c r="GE29">
        <v>0</v>
      </c>
      <c r="GJ29" s="1">
        <v>14989</v>
      </c>
      <c r="GK29" s="1">
        <v>3617</v>
      </c>
      <c r="GL29">
        <v>0</v>
      </c>
      <c r="GM29">
        <v>115</v>
      </c>
      <c r="GN29" s="1">
        <v>67674</v>
      </c>
      <c r="GO29" s="1">
        <v>8695</v>
      </c>
      <c r="GP29">
        <v>322</v>
      </c>
      <c r="GQ29">
        <v>115</v>
      </c>
      <c r="GR29">
        <v>72</v>
      </c>
      <c r="GT29" s="1">
        <v>476823</v>
      </c>
      <c r="GU29" s="1">
        <v>70075</v>
      </c>
      <c r="GV29" s="1">
        <v>871994</v>
      </c>
      <c r="GW29" s="1">
        <v>332851</v>
      </c>
      <c r="GX29" s="1">
        <v>5052</v>
      </c>
      <c r="GY29" s="1">
        <v>157673</v>
      </c>
      <c r="GZ29" s="1">
        <v>809674</v>
      </c>
      <c r="HA29" s="1">
        <v>75127</v>
      </c>
      <c r="HB29" s="1">
        <v>1029667</v>
      </c>
      <c r="HC29" s="1">
        <v>1914468</v>
      </c>
      <c r="HD29">
        <v>0</v>
      </c>
      <c r="HE29" s="1">
        <v>1914468</v>
      </c>
      <c r="HF29" s="1">
        <v>154236</v>
      </c>
      <c r="HG29" s="1">
        <v>462481</v>
      </c>
      <c r="HH29">
        <v>0</v>
      </c>
      <c r="HI29" s="1">
        <v>22783</v>
      </c>
      <c r="HJ29" s="1">
        <v>639500</v>
      </c>
      <c r="HK29" s="1">
        <v>2553968</v>
      </c>
      <c r="HL29">
        <v>404</v>
      </c>
      <c r="HM29" s="1">
        <v>123494</v>
      </c>
      <c r="HN29" s="1">
        <v>123898</v>
      </c>
      <c r="HO29" s="1">
        <v>1427</v>
      </c>
      <c r="HP29" s="1">
        <v>51750</v>
      </c>
      <c r="HQ29" s="1">
        <v>53177</v>
      </c>
      <c r="HR29">
        <v>0</v>
      </c>
      <c r="HS29" s="1">
        <v>53820</v>
      </c>
      <c r="HT29" s="1">
        <v>53820</v>
      </c>
      <c r="HU29" s="1">
        <v>13604</v>
      </c>
      <c r="HV29" s="1">
        <v>244499</v>
      </c>
      <c r="HW29" s="1">
        <v>119990</v>
      </c>
      <c r="HX29" s="1">
        <v>105994</v>
      </c>
      <c r="HY29" s="1">
        <v>225984</v>
      </c>
      <c r="HZ29" s="1">
        <v>470483</v>
      </c>
      <c r="IA29" s="1">
        <v>207413</v>
      </c>
      <c r="IB29" s="1">
        <v>723714</v>
      </c>
      <c r="IC29" s="1">
        <v>2798467</v>
      </c>
      <c r="ID29" s="1">
        <v>2798467</v>
      </c>
      <c r="IE29" s="1">
        <v>3024451</v>
      </c>
      <c r="IF29" s="1">
        <v>1275348</v>
      </c>
      <c r="IG29" s="1">
        <v>3645</v>
      </c>
      <c r="IJ29">
        <v>1</v>
      </c>
      <c r="IK29" s="3">
        <v>6.7199999999999996E-2</v>
      </c>
      <c r="IL29" s="3">
        <v>5.9999999999999995E-4</v>
      </c>
      <c r="IM29" s="3">
        <v>0.1048</v>
      </c>
      <c r="IN29" s="3">
        <v>0</v>
      </c>
      <c r="IO29" s="3">
        <v>9.2399999999999996E-2</v>
      </c>
      <c r="IP29" s="3">
        <v>1E-4</v>
      </c>
      <c r="IQ29" s="3">
        <v>0.73570000000000002</v>
      </c>
      <c r="IR29" s="3">
        <v>7.5399999999999995E-2</v>
      </c>
      <c r="IS29" s="3">
        <v>0.45569999999999999</v>
      </c>
      <c r="IT29" s="1">
        <v>217223</v>
      </c>
      <c r="IU29" s="1">
        <v>48486</v>
      </c>
      <c r="IV29" s="1">
        <v>265709</v>
      </c>
      <c r="IW29" s="3">
        <v>0.90339999999999998</v>
      </c>
      <c r="IX29" s="1">
        <v>858360</v>
      </c>
      <c r="IZ29" s="1">
        <v>2034</v>
      </c>
      <c r="JA29">
        <v>828</v>
      </c>
      <c r="JB29" s="1">
        <v>2089</v>
      </c>
      <c r="JC29">
        <v>172</v>
      </c>
      <c r="JD29">
        <v>104</v>
      </c>
      <c r="JE29">
        <v>465</v>
      </c>
      <c r="JF29" s="1">
        <v>2206</v>
      </c>
      <c r="JG29">
        <v>932</v>
      </c>
      <c r="JH29" s="1">
        <v>2554</v>
      </c>
      <c r="JI29" s="1">
        <v>5692</v>
      </c>
      <c r="JJ29" s="1">
        <v>4951</v>
      </c>
      <c r="JK29">
        <v>741</v>
      </c>
      <c r="JL29" s="1">
        <v>15976</v>
      </c>
      <c r="JM29" s="1">
        <v>6080</v>
      </c>
      <c r="JN29" s="1">
        <v>54157</v>
      </c>
      <c r="JO29" s="1">
        <v>4672</v>
      </c>
      <c r="JP29" s="1">
        <v>3765</v>
      </c>
      <c r="JQ29" s="1">
        <v>12498</v>
      </c>
      <c r="JR29" s="1">
        <v>20648</v>
      </c>
      <c r="JS29" s="1">
        <v>9845</v>
      </c>
      <c r="JT29" s="1">
        <v>66655</v>
      </c>
      <c r="JU29" s="1">
        <v>97148</v>
      </c>
      <c r="JV29" s="1">
        <v>76213</v>
      </c>
      <c r="JW29" s="1">
        <v>20935</v>
      </c>
      <c r="JX29">
        <v>17.07</v>
      </c>
      <c r="JY29">
        <v>9.36</v>
      </c>
      <c r="JZ29">
        <v>26.1</v>
      </c>
      <c r="KA29">
        <v>0.21</v>
      </c>
      <c r="KB29">
        <v>0.69</v>
      </c>
      <c r="KC29">
        <v>3</v>
      </c>
      <c r="KD29">
        <v>50</v>
      </c>
      <c r="KE29">
        <v>179</v>
      </c>
      <c r="KF29">
        <v>900</v>
      </c>
      <c r="KG29">
        <v>894</v>
      </c>
      <c r="KH29" s="1">
        <v>28608</v>
      </c>
      <c r="KI29">
        <v>58</v>
      </c>
      <c r="KJ29">
        <v>436</v>
      </c>
      <c r="KK29">
        <v>47</v>
      </c>
      <c r="KL29">
        <v>531</v>
      </c>
      <c r="KM29" s="1">
        <v>170264</v>
      </c>
      <c r="KN29" s="1">
        <v>77220</v>
      </c>
      <c r="KO29" s="1">
        <v>17592</v>
      </c>
      <c r="KQ29" s="1">
        <v>7844</v>
      </c>
      <c r="KR29" s="1">
        <v>10029</v>
      </c>
      <c r="KS29" s="1">
        <v>1188</v>
      </c>
      <c r="KT29" s="1">
        <v>2262</v>
      </c>
      <c r="KU29">
        <v>159</v>
      </c>
      <c r="KV29">
        <v>179</v>
      </c>
      <c r="KW29" s="1">
        <v>277664</v>
      </c>
      <c r="KY29" s="1">
        <v>1602850</v>
      </c>
      <c r="LC29" t="s">
        <v>1057</v>
      </c>
      <c r="LD29" t="s">
        <v>709</v>
      </c>
      <c r="LE29" t="s">
        <v>1068</v>
      </c>
      <c r="LF29" t="s">
        <v>1056</v>
      </c>
      <c r="LG29">
        <v>27702</v>
      </c>
      <c r="LH29">
        <v>3809</v>
      </c>
      <c r="LI29" t="s">
        <v>1069</v>
      </c>
      <c r="LJ29" t="s">
        <v>1056</v>
      </c>
      <c r="LK29">
        <v>27701</v>
      </c>
      <c r="LL29">
        <v>3414</v>
      </c>
      <c r="LM29" t="s">
        <v>1056</v>
      </c>
      <c r="LN29">
        <v>9195600100</v>
      </c>
      <c r="LO29">
        <v>9195600137</v>
      </c>
      <c r="LP29" s="1">
        <v>182554</v>
      </c>
      <c r="LQ29">
        <v>122.92</v>
      </c>
      <c r="LS29" s="1">
        <v>18114</v>
      </c>
      <c r="LT29">
        <v>361</v>
      </c>
      <c r="LW29">
        <v>1</v>
      </c>
      <c r="LX29" t="s">
        <v>1070</v>
      </c>
      <c r="LY29">
        <v>0</v>
      </c>
      <c r="LZ29" t="s">
        <v>691</v>
      </c>
    </row>
    <row r="30" spans="1:340" x14ac:dyDescent="0.25">
      <c r="A30" t="s">
        <v>1071</v>
      </c>
      <c r="B30">
        <v>0</v>
      </c>
      <c r="C30">
        <v>1375</v>
      </c>
      <c r="D30">
        <v>2017</v>
      </c>
      <c r="E30">
        <v>0</v>
      </c>
      <c r="F30" t="s">
        <v>1071</v>
      </c>
      <c r="G30" t="s">
        <v>1072</v>
      </c>
      <c r="H30" t="s">
        <v>668</v>
      </c>
      <c r="I30" t="s">
        <v>694</v>
      </c>
      <c r="J30" t="s">
        <v>670</v>
      </c>
      <c r="K30" t="s">
        <v>671</v>
      </c>
      <c r="L30" t="s">
        <v>695</v>
      </c>
      <c r="M30" t="s">
        <v>673</v>
      </c>
      <c r="N30" s="1">
        <v>111583</v>
      </c>
      <c r="O30" t="s">
        <v>674</v>
      </c>
      <c r="P30">
        <v>726</v>
      </c>
      <c r="Q30">
        <v>87</v>
      </c>
      <c r="R30">
        <v>112</v>
      </c>
      <c r="S30">
        <v>12</v>
      </c>
      <c r="T30" s="1">
        <v>4385</v>
      </c>
      <c r="U30">
        <v>194</v>
      </c>
      <c r="V30" s="1">
        <v>44642</v>
      </c>
      <c r="W30" s="1">
        <v>3255</v>
      </c>
      <c r="X30" s="1">
        <v>115201</v>
      </c>
      <c r="Y30" s="1">
        <v>10140</v>
      </c>
      <c r="Z30" t="s">
        <v>1073</v>
      </c>
      <c r="AA30" t="s">
        <v>1074</v>
      </c>
      <c r="AB30">
        <v>27909</v>
      </c>
      <c r="AD30" t="s">
        <v>1073</v>
      </c>
      <c r="AE30" t="s">
        <v>1074</v>
      </c>
      <c r="AF30">
        <v>27909</v>
      </c>
      <c r="AG30">
        <v>2</v>
      </c>
      <c r="AH30" t="s">
        <v>1075</v>
      </c>
      <c r="AJ30" t="s">
        <v>700</v>
      </c>
      <c r="AK30" t="s">
        <v>1076</v>
      </c>
      <c r="AL30" t="s">
        <v>1077</v>
      </c>
      <c r="AM30" t="s">
        <v>1078</v>
      </c>
      <c r="AN30" t="s">
        <v>1079</v>
      </c>
      <c r="AO30" t="s">
        <v>1080</v>
      </c>
      <c r="AP30" t="s">
        <v>1077</v>
      </c>
      <c r="AQ30" t="s">
        <v>36</v>
      </c>
      <c r="AR30" t="s">
        <v>1081</v>
      </c>
      <c r="AS30" t="s">
        <v>1082</v>
      </c>
      <c r="AT30" t="s">
        <v>1080</v>
      </c>
      <c r="AU30" t="s">
        <v>1083</v>
      </c>
      <c r="BC30">
        <v>1</v>
      </c>
      <c r="BD30">
        <v>7</v>
      </c>
      <c r="BE30">
        <v>1</v>
      </c>
      <c r="BF30">
        <v>2</v>
      </c>
      <c r="BG30">
        <v>11</v>
      </c>
      <c r="BI30" s="1">
        <v>19598</v>
      </c>
      <c r="BJ30">
        <v>4.6900000000000004</v>
      </c>
      <c r="BK30">
        <v>0</v>
      </c>
      <c r="BL30">
        <v>4.6900000000000004</v>
      </c>
      <c r="BM30">
        <v>42.07</v>
      </c>
      <c r="BN30">
        <v>46.76</v>
      </c>
      <c r="BO30" s="3">
        <v>0.1003</v>
      </c>
      <c r="BP30" s="1">
        <v>1991</v>
      </c>
      <c r="BQ30" s="4">
        <v>66527</v>
      </c>
      <c r="BT30" s="1">
        <v>57800</v>
      </c>
      <c r="BU30" s="4">
        <v>30697</v>
      </c>
      <c r="BV30" s="4">
        <v>43997</v>
      </c>
      <c r="BW30" s="4">
        <v>36626</v>
      </c>
      <c r="CO30" s="4">
        <v>39125</v>
      </c>
      <c r="CP30" s="4">
        <v>56013</v>
      </c>
      <c r="CQ30" s="4">
        <v>42062</v>
      </c>
      <c r="CR30" s="4">
        <v>37314</v>
      </c>
      <c r="CS30" s="4">
        <v>59704</v>
      </c>
      <c r="CT30" s="4">
        <v>34162</v>
      </c>
      <c r="CV30" s="4">
        <v>47623</v>
      </c>
      <c r="CW30" s="4">
        <v>76197</v>
      </c>
      <c r="CX30" s="4">
        <v>58801</v>
      </c>
      <c r="DK30" s="4">
        <v>27278</v>
      </c>
      <c r="DL30" s="4">
        <v>35812</v>
      </c>
      <c r="DM30" s="4">
        <v>29003</v>
      </c>
      <c r="DO30" s="4">
        <v>25866</v>
      </c>
      <c r="DP30" s="4">
        <v>34078</v>
      </c>
      <c r="DQ30" s="4">
        <v>27423</v>
      </c>
      <c r="DV30" s="4">
        <v>2000</v>
      </c>
      <c r="DW30" s="4">
        <v>2330002</v>
      </c>
      <c r="DX30" s="4">
        <v>2332002</v>
      </c>
      <c r="DY30" s="4">
        <v>390107</v>
      </c>
      <c r="DZ30" s="4">
        <v>0</v>
      </c>
      <c r="EA30" s="4">
        <v>390107</v>
      </c>
      <c r="EB30" s="4">
        <v>0</v>
      </c>
      <c r="EC30" s="4">
        <v>0</v>
      </c>
      <c r="ED30" s="4">
        <v>0</v>
      </c>
      <c r="EE30" s="4">
        <v>84826</v>
      </c>
      <c r="EF30" s="4">
        <v>2806935</v>
      </c>
      <c r="EG30" s="4">
        <v>1506915</v>
      </c>
      <c r="EH30" s="4">
        <v>555752</v>
      </c>
      <c r="EI30" s="4">
        <v>2062667</v>
      </c>
      <c r="EJ30" s="4">
        <v>123346</v>
      </c>
      <c r="EK30" s="4">
        <v>36612</v>
      </c>
      <c r="EL30" s="4">
        <v>23804</v>
      </c>
      <c r="EM30" s="4">
        <v>183762</v>
      </c>
      <c r="EN30" s="4">
        <v>490747</v>
      </c>
      <c r="EO30" s="4">
        <v>2737176</v>
      </c>
      <c r="EP30" s="4">
        <v>69759</v>
      </c>
      <c r="EQ30" s="3">
        <v>2.4899999999999999E-2</v>
      </c>
      <c r="ER30" s="4">
        <v>5335</v>
      </c>
      <c r="ES30" s="4">
        <v>0</v>
      </c>
      <c r="ET30" s="4">
        <v>0</v>
      </c>
      <c r="EU30" s="4">
        <v>0</v>
      </c>
      <c r="EV30" s="4">
        <v>5335</v>
      </c>
      <c r="EW30" s="4">
        <v>5335</v>
      </c>
      <c r="EX30" s="1">
        <v>29274</v>
      </c>
      <c r="EY30" s="1">
        <v>317215</v>
      </c>
      <c r="EZ30" s="1">
        <v>73343</v>
      </c>
      <c r="FA30" s="1">
        <v>7596</v>
      </c>
      <c r="FB30" s="1">
        <v>54305</v>
      </c>
      <c r="FC30" s="1">
        <v>72512</v>
      </c>
      <c r="FD30" s="1">
        <v>1680</v>
      </c>
      <c r="FE30" s="1">
        <v>18675</v>
      </c>
      <c r="FF30" s="1">
        <v>145855</v>
      </c>
      <c r="FG30" s="1">
        <v>9276</v>
      </c>
      <c r="FH30" s="1">
        <v>72980</v>
      </c>
      <c r="FI30" s="1">
        <v>228111</v>
      </c>
      <c r="FJ30" s="1">
        <v>1500</v>
      </c>
      <c r="FK30">
        <v>136</v>
      </c>
      <c r="FM30" s="1">
        <v>228111</v>
      </c>
      <c r="FN30" s="1">
        <v>8346</v>
      </c>
      <c r="FO30" s="1">
        <v>17313</v>
      </c>
      <c r="FP30" s="1">
        <v>1306</v>
      </c>
      <c r="FQ30">
        <v>9</v>
      </c>
      <c r="FR30">
        <v>88</v>
      </c>
      <c r="FS30">
        <v>97</v>
      </c>
      <c r="FT30" s="1">
        <v>44141</v>
      </c>
      <c r="FU30" s="1">
        <v>3505</v>
      </c>
      <c r="FV30">
        <v>0</v>
      </c>
      <c r="FW30">
        <v>0</v>
      </c>
      <c r="FX30" s="1">
        <v>8544</v>
      </c>
      <c r="FY30" s="1">
        <v>1573</v>
      </c>
      <c r="FZ30">
        <v>322</v>
      </c>
      <c r="GA30">
        <v>0</v>
      </c>
      <c r="GJ30" s="1">
        <v>2175</v>
      </c>
      <c r="GK30">
        <v>110</v>
      </c>
      <c r="GL30">
        <v>0</v>
      </c>
      <c r="GM30">
        <v>36</v>
      </c>
      <c r="GN30" s="1">
        <v>54860</v>
      </c>
      <c r="GO30" s="1">
        <v>5188</v>
      </c>
      <c r="GP30">
        <v>322</v>
      </c>
      <c r="GQ30">
        <v>36</v>
      </c>
      <c r="GR30">
        <v>49</v>
      </c>
      <c r="GT30" s="1">
        <v>126218</v>
      </c>
      <c r="GU30" s="1">
        <v>9377</v>
      </c>
      <c r="GV30" s="1">
        <v>120479</v>
      </c>
      <c r="GW30" s="1">
        <v>40610</v>
      </c>
      <c r="GX30">
        <v>876</v>
      </c>
      <c r="GY30" s="1">
        <v>20065</v>
      </c>
      <c r="GZ30" s="1">
        <v>166828</v>
      </c>
      <c r="HA30" s="1">
        <v>10253</v>
      </c>
      <c r="HB30" s="1">
        <v>140544</v>
      </c>
      <c r="HC30" s="1">
        <v>317625</v>
      </c>
      <c r="HD30" s="1">
        <v>2641</v>
      </c>
      <c r="HE30" s="1">
        <v>320266</v>
      </c>
      <c r="HF30" s="1">
        <v>19729</v>
      </c>
      <c r="HG30" s="1">
        <v>75006</v>
      </c>
      <c r="HI30">
        <v>217</v>
      </c>
      <c r="HJ30" s="1">
        <v>94952</v>
      </c>
      <c r="HK30" s="1">
        <v>415218</v>
      </c>
      <c r="HL30">
        <v>138</v>
      </c>
      <c r="HM30" s="1">
        <v>18045</v>
      </c>
      <c r="HN30" s="1">
        <v>18183</v>
      </c>
      <c r="HO30">
        <v>767</v>
      </c>
      <c r="HP30">
        <v>136</v>
      </c>
      <c r="HQ30">
        <v>903</v>
      </c>
      <c r="HR30">
        <v>0</v>
      </c>
      <c r="HS30">
        <v>0</v>
      </c>
      <c r="HT30">
        <v>0</v>
      </c>
      <c r="HU30" s="1">
        <v>1985</v>
      </c>
      <c r="HV30" s="1">
        <v>21071</v>
      </c>
      <c r="HW30" s="1">
        <v>13878</v>
      </c>
      <c r="HX30" s="1">
        <v>133594</v>
      </c>
      <c r="HY30" s="1">
        <v>147472</v>
      </c>
      <c r="HZ30" s="1">
        <v>168543</v>
      </c>
      <c r="IA30" s="1">
        <v>20632</v>
      </c>
      <c r="IB30" s="1">
        <v>95638</v>
      </c>
      <c r="IC30" s="1">
        <v>436289</v>
      </c>
      <c r="ID30" s="1">
        <v>436289</v>
      </c>
      <c r="IE30" s="1">
        <v>583761</v>
      </c>
      <c r="IF30" s="1">
        <v>169898</v>
      </c>
      <c r="IG30">
        <v>15</v>
      </c>
      <c r="IJ30">
        <v>1</v>
      </c>
      <c r="IK30" s="3">
        <v>5.5599999999999997E-2</v>
      </c>
      <c r="IL30" s="3">
        <v>4.0000000000000002E-4</v>
      </c>
      <c r="IM30" s="3">
        <v>0.19040000000000001</v>
      </c>
      <c r="IN30" s="3">
        <v>0</v>
      </c>
      <c r="IO30" s="3">
        <v>0.1729</v>
      </c>
      <c r="IP30" s="3">
        <v>2.9999999999999997E-4</v>
      </c>
      <c r="IQ30" s="3">
        <v>0.71909999999999996</v>
      </c>
      <c r="IR30" s="3">
        <v>4.2700000000000002E-2</v>
      </c>
      <c r="IS30" s="3">
        <v>0.38940000000000002</v>
      </c>
      <c r="IT30" s="1">
        <v>40091</v>
      </c>
      <c r="IU30" s="1">
        <v>21130</v>
      </c>
      <c r="IV30" s="1">
        <v>61221</v>
      </c>
      <c r="IW30" s="3">
        <v>0.54869999999999997</v>
      </c>
      <c r="IX30" s="1">
        <v>390171</v>
      </c>
      <c r="IZ30">
        <v>237</v>
      </c>
      <c r="JA30">
        <v>7</v>
      </c>
      <c r="JB30">
        <v>933</v>
      </c>
      <c r="JC30">
        <v>3</v>
      </c>
      <c r="JD30">
        <v>0</v>
      </c>
      <c r="JE30">
        <v>300</v>
      </c>
      <c r="JF30">
        <v>240</v>
      </c>
      <c r="JG30">
        <v>7</v>
      </c>
      <c r="JH30" s="1">
        <v>1233</v>
      </c>
      <c r="JI30" s="1">
        <v>1480</v>
      </c>
      <c r="JJ30" s="1">
        <v>1177</v>
      </c>
      <c r="JK30">
        <v>303</v>
      </c>
      <c r="JL30" s="1">
        <v>3944</v>
      </c>
      <c r="JM30">
        <v>51</v>
      </c>
      <c r="JN30" s="1">
        <v>17580</v>
      </c>
      <c r="JO30">
        <v>231</v>
      </c>
      <c r="JP30">
        <v>0</v>
      </c>
      <c r="JQ30" s="1">
        <v>7246</v>
      </c>
      <c r="JR30" s="1">
        <v>4175</v>
      </c>
      <c r="JS30">
        <v>51</v>
      </c>
      <c r="JT30" s="1">
        <v>24826</v>
      </c>
      <c r="JU30" s="1">
        <v>29052</v>
      </c>
      <c r="JV30" s="1">
        <v>21575</v>
      </c>
      <c r="JW30" s="1">
        <v>7477</v>
      </c>
      <c r="JX30">
        <v>19.63</v>
      </c>
      <c r="JY30">
        <v>17.399999999999999</v>
      </c>
      <c r="JZ30">
        <v>20.13</v>
      </c>
      <c r="KA30">
        <v>0.14000000000000001</v>
      </c>
      <c r="KB30">
        <v>0.85</v>
      </c>
      <c r="KC30">
        <v>50</v>
      </c>
      <c r="KD30">
        <v>92</v>
      </c>
      <c r="KE30">
        <v>188</v>
      </c>
      <c r="KF30">
        <v>445</v>
      </c>
      <c r="KG30">
        <v>772</v>
      </c>
      <c r="KH30" s="1">
        <v>12121</v>
      </c>
      <c r="KI30">
        <v>0</v>
      </c>
      <c r="KJ30">
        <v>0</v>
      </c>
      <c r="KK30">
        <v>52</v>
      </c>
      <c r="KL30">
        <v>322</v>
      </c>
      <c r="KM30" s="1">
        <v>64364</v>
      </c>
      <c r="KN30" s="1">
        <v>15956</v>
      </c>
      <c r="KO30" s="1">
        <v>1495</v>
      </c>
      <c r="KQ30" s="1">
        <v>1465</v>
      </c>
      <c r="KR30" s="1">
        <v>19811</v>
      </c>
      <c r="KS30">
        <v>411</v>
      </c>
      <c r="KT30">
        <v>940</v>
      </c>
      <c r="KU30">
        <v>59</v>
      </c>
      <c r="KV30">
        <v>110</v>
      </c>
      <c r="KW30" s="1">
        <v>64875</v>
      </c>
      <c r="KY30" s="1">
        <v>222225</v>
      </c>
      <c r="KZ30" s="1">
        <v>50157</v>
      </c>
      <c r="LC30" t="s">
        <v>1084</v>
      </c>
      <c r="LD30" t="s">
        <v>709</v>
      </c>
      <c r="LE30" t="s">
        <v>1073</v>
      </c>
      <c r="LF30" t="s">
        <v>1074</v>
      </c>
      <c r="LG30">
        <v>27909</v>
      </c>
      <c r="LH30">
        <v>4423</v>
      </c>
      <c r="LI30" t="s">
        <v>1073</v>
      </c>
      <c r="LJ30" t="s">
        <v>1074</v>
      </c>
      <c r="LK30">
        <v>27909</v>
      </c>
      <c r="LL30">
        <v>4423</v>
      </c>
      <c r="LM30" t="s">
        <v>1076</v>
      </c>
      <c r="LN30">
        <v>2523352473</v>
      </c>
      <c r="LO30">
        <v>2523317449</v>
      </c>
      <c r="LP30" s="1">
        <v>70112</v>
      </c>
      <c r="LQ30">
        <v>43.37</v>
      </c>
      <c r="LS30" s="1">
        <v>19598</v>
      </c>
      <c r="LT30">
        <v>464</v>
      </c>
      <c r="LW30">
        <v>9</v>
      </c>
      <c r="LX30" t="s">
        <v>1085</v>
      </c>
      <c r="LY30">
        <v>0</v>
      </c>
      <c r="LZ30" t="s">
        <v>691</v>
      </c>
      <c r="MA30">
        <v>46.13</v>
      </c>
      <c r="MB30">
        <v>38.06</v>
      </c>
    </row>
    <row r="31" spans="1:340" x14ac:dyDescent="0.25">
      <c r="A31" t="s">
        <v>1086</v>
      </c>
      <c r="B31">
        <v>0</v>
      </c>
      <c r="C31">
        <v>1375</v>
      </c>
      <c r="D31">
        <v>2017</v>
      </c>
      <c r="E31">
        <v>0</v>
      </c>
      <c r="F31" t="s">
        <v>1086</v>
      </c>
      <c r="G31" t="s">
        <v>1087</v>
      </c>
      <c r="H31" t="s">
        <v>668</v>
      </c>
      <c r="I31" t="s">
        <v>917</v>
      </c>
      <c r="J31" t="s">
        <v>670</v>
      </c>
      <c r="K31" t="s">
        <v>671</v>
      </c>
      <c r="L31" t="s">
        <v>672</v>
      </c>
      <c r="M31" t="s">
        <v>673</v>
      </c>
      <c r="N31" s="1">
        <v>54367</v>
      </c>
      <c r="O31" t="s">
        <v>674</v>
      </c>
      <c r="P31">
        <v>714</v>
      </c>
      <c r="Q31">
        <v>222</v>
      </c>
      <c r="R31">
        <v>81</v>
      </c>
      <c r="S31">
        <v>81</v>
      </c>
      <c r="T31" s="1">
        <v>3460</v>
      </c>
      <c r="U31" s="1">
        <v>3460</v>
      </c>
      <c r="V31" s="1">
        <v>4514</v>
      </c>
      <c r="X31" s="1">
        <v>4680</v>
      </c>
      <c r="Z31" t="s">
        <v>1088</v>
      </c>
      <c r="AA31" t="s">
        <v>1089</v>
      </c>
      <c r="AB31">
        <v>27886</v>
      </c>
      <c r="AC31">
        <v>3818</v>
      </c>
      <c r="AD31" t="s">
        <v>1088</v>
      </c>
      <c r="AE31" t="s">
        <v>1089</v>
      </c>
      <c r="AF31">
        <v>27886</v>
      </c>
      <c r="AG31">
        <v>1</v>
      </c>
      <c r="AH31" t="s">
        <v>1090</v>
      </c>
      <c r="AJ31" t="s">
        <v>35</v>
      </c>
      <c r="AK31" t="s">
        <v>1091</v>
      </c>
      <c r="AL31" t="s">
        <v>1092</v>
      </c>
      <c r="AM31" t="s">
        <v>1093</v>
      </c>
      <c r="AN31" t="s">
        <v>1094</v>
      </c>
      <c r="AO31" t="s">
        <v>1095</v>
      </c>
      <c r="AP31" t="s">
        <v>1096</v>
      </c>
      <c r="AQ31" t="s">
        <v>892</v>
      </c>
      <c r="AR31" t="s">
        <v>1093</v>
      </c>
      <c r="AS31" t="s">
        <v>1094</v>
      </c>
      <c r="AT31" t="s">
        <v>1097</v>
      </c>
      <c r="AU31" t="s">
        <v>1098</v>
      </c>
      <c r="BC31">
        <v>1</v>
      </c>
      <c r="BD31">
        <v>1</v>
      </c>
      <c r="BE31">
        <v>0</v>
      </c>
      <c r="BF31">
        <v>1</v>
      </c>
      <c r="BG31">
        <v>3</v>
      </c>
      <c r="BI31" s="1">
        <v>4750</v>
      </c>
      <c r="BJ31">
        <v>2</v>
      </c>
      <c r="BK31">
        <v>0</v>
      </c>
      <c r="BL31">
        <v>2</v>
      </c>
      <c r="BM31">
        <v>10.95</v>
      </c>
      <c r="BN31">
        <v>12.95</v>
      </c>
      <c r="BO31" s="3">
        <v>0.15440000000000001</v>
      </c>
      <c r="BP31">
        <v>892</v>
      </c>
      <c r="BQ31" s="4">
        <v>51600</v>
      </c>
      <c r="BT31" s="1">
        <v>39000</v>
      </c>
      <c r="DK31" s="4">
        <v>26780</v>
      </c>
      <c r="DL31" s="4">
        <v>28863</v>
      </c>
      <c r="DM31" s="4">
        <v>27822</v>
      </c>
      <c r="DO31" s="4">
        <v>10634</v>
      </c>
      <c r="DP31" s="4">
        <v>28560</v>
      </c>
      <c r="DQ31" s="4">
        <v>16254</v>
      </c>
      <c r="DV31" s="4">
        <v>153528</v>
      </c>
      <c r="DW31" s="4">
        <v>373850</v>
      </c>
      <c r="DX31" s="4">
        <v>527378</v>
      </c>
      <c r="DY31" s="4">
        <v>116974</v>
      </c>
      <c r="DZ31" s="4">
        <v>210</v>
      </c>
      <c r="EA31" s="4">
        <v>117184</v>
      </c>
      <c r="EB31" s="4">
        <v>4796</v>
      </c>
      <c r="EC31" s="4">
        <v>0</v>
      </c>
      <c r="ED31" s="4">
        <v>4796</v>
      </c>
      <c r="EE31" s="4">
        <v>63641</v>
      </c>
      <c r="EF31" s="4">
        <v>712999</v>
      </c>
      <c r="EG31" s="4">
        <v>340041</v>
      </c>
      <c r="EH31" s="4">
        <v>124572</v>
      </c>
      <c r="EI31" s="4">
        <v>464613</v>
      </c>
      <c r="EJ31" s="4">
        <v>46615</v>
      </c>
      <c r="EK31" s="4">
        <v>1939</v>
      </c>
      <c r="EL31" s="4">
        <v>255</v>
      </c>
      <c r="EM31" s="4">
        <v>48809</v>
      </c>
      <c r="EN31" s="4">
        <v>190501</v>
      </c>
      <c r="EO31" s="4">
        <v>703923</v>
      </c>
      <c r="EP31" s="4">
        <v>9076</v>
      </c>
      <c r="EQ31" s="3">
        <v>1.2699999999999999E-2</v>
      </c>
      <c r="ER31" s="4">
        <v>0</v>
      </c>
      <c r="ES31" s="4">
        <v>0</v>
      </c>
      <c r="ET31" s="4">
        <v>0</v>
      </c>
      <c r="EU31" s="4">
        <v>0</v>
      </c>
      <c r="EV31" s="4">
        <v>0</v>
      </c>
      <c r="EW31" s="4">
        <v>0</v>
      </c>
      <c r="EX31" s="1">
        <v>5678</v>
      </c>
      <c r="EY31" s="1">
        <v>165395</v>
      </c>
      <c r="EZ31" s="1">
        <v>37029</v>
      </c>
      <c r="FA31" s="1">
        <v>1868</v>
      </c>
      <c r="FB31" s="1">
        <v>17226</v>
      </c>
      <c r="FC31" s="1">
        <v>34508</v>
      </c>
      <c r="FD31">
        <v>727</v>
      </c>
      <c r="FE31" s="1">
        <v>12379</v>
      </c>
      <c r="FF31" s="1">
        <v>71537</v>
      </c>
      <c r="FG31" s="1">
        <v>2595</v>
      </c>
      <c r="FH31" s="1">
        <v>29605</v>
      </c>
      <c r="FI31" s="1">
        <v>103737</v>
      </c>
      <c r="FJ31">
        <v>569</v>
      </c>
      <c r="FK31">
        <v>100</v>
      </c>
      <c r="FM31" s="1">
        <v>103737</v>
      </c>
      <c r="FN31" s="1">
        <v>1469</v>
      </c>
      <c r="FO31">
        <v>700</v>
      </c>
      <c r="FP31">
        <v>445</v>
      </c>
      <c r="FQ31">
        <v>1</v>
      </c>
      <c r="FR31">
        <v>88</v>
      </c>
      <c r="FS31">
        <v>89</v>
      </c>
      <c r="FT31" s="1">
        <v>44141</v>
      </c>
      <c r="FU31" s="1">
        <v>3505</v>
      </c>
      <c r="FV31">
        <v>0</v>
      </c>
      <c r="FW31">
        <v>0</v>
      </c>
      <c r="FX31" s="1">
        <v>8544</v>
      </c>
      <c r="FY31" s="1">
        <v>1573</v>
      </c>
      <c r="FZ31">
        <v>322</v>
      </c>
      <c r="GA31">
        <v>0</v>
      </c>
      <c r="GE31">
        <v>0</v>
      </c>
      <c r="GJ31">
        <v>197</v>
      </c>
      <c r="GK31">
        <v>4</v>
      </c>
      <c r="GL31">
        <v>0</v>
      </c>
      <c r="GM31">
        <v>0</v>
      </c>
      <c r="GN31" s="1">
        <v>52882</v>
      </c>
      <c r="GO31" s="1">
        <v>5082</v>
      </c>
      <c r="GP31">
        <v>322</v>
      </c>
      <c r="GQ31">
        <v>0</v>
      </c>
      <c r="GR31">
        <v>43</v>
      </c>
      <c r="GT31" s="1">
        <v>23852</v>
      </c>
      <c r="GU31" s="1">
        <v>1263</v>
      </c>
      <c r="GV31" s="1">
        <v>11733</v>
      </c>
      <c r="GW31" s="1">
        <v>5771</v>
      </c>
      <c r="GX31" s="1">
        <v>2153</v>
      </c>
      <c r="GY31" s="1">
        <v>2417</v>
      </c>
      <c r="GZ31" s="1">
        <v>29623</v>
      </c>
      <c r="HA31" s="1">
        <v>3416</v>
      </c>
      <c r="HB31" s="1">
        <v>14150</v>
      </c>
      <c r="HC31" s="1">
        <v>47189</v>
      </c>
      <c r="HD31">
        <v>42</v>
      </c>
      <c r="HE31" s="1">
        <v>47231</v>
      </c>
      <c r="HF31">
        <v>842</v>
      </c>
      <c r="HG31" s="1">
        <v>3109</v>
      </c>
      <c r="HH31">
        <v>0</v>
      </c>
      <c r="HI31">
        <v>0</v>
      </c>
      <c r="HJ31" s="1">
        <v>3951</v>
      </c>
      <c r="HK31" s="1">
        <v>51182</v>
      </c>
      <c r="HL31">
        <v>26</v>
      </c>
      <c r="HM31">
        <v>247</v>
      </c>
      <c r="HN31">
        <v>273</v>
      </c>
      <c r="HO31">
        <v>157</v>
      </c>
      <c r="HP31">
        <v>0</v>
      </c>
      <c r="HQ31">
        <v>157</v>
      </c>
      <c r="HR31">
        <v>0</v>
      </c>
      <c r="HS31">
        <v>0</v>
      </c>
      <c r="HT31">
        <v>0</v>
      </c>
      <c r="HU31">
        <v>0</v>
      </c>
      <c r="HV31">
        <v>430</v>
      </c>
      <c r="HW31" s="1">
        <v>3219</v>
      </c>
      <c r="HX31" s="1">
        <v>8017</v>
      </c>
      <c r="HY31" s="1">
        <v>11236</v>
      </c>
      <c r="HZ31" s="1">
        <v>11666</v>
      </c>
      <c r="IA31">
        <v>999</v>
      </c>
      <c r="IB31" s="1">
        <v>4108</v>
      </c>
      <c r="IC31" s="1">
        <v>51612</v>
      </c>
      <c r="ID31" s="1">
        <v>51612</v>
      </c>
      <c r="IE31" s="1">
        <v>62848</v>
      </c>
      <c r="IF31" s="1">
        <v>16136</v>
      </c>
      <c r="IG31">
        <v>99</v>
      </c>
      <c r="IJ31">
        <v>1</v>
      </c>
      <c r="IK31" s="3">
        <v>6.1999999999999998E-3</v>
      </c>
      <c r="IL31" s="3">
        <v>5.9999999999999995E-4</v>
      </c>
      <c r="IM31" s="3">
        <v>0.35239999999999999</v>
      </c>
      <c r="IN31" s="3">
        <v>0</v>
      </c>
      <c r="IO31" s="3">
        <v>0.31969999999999998</v>
      </c>
      <c r="IP31" s="3">
        <v>5.0000000000000001E-4</v>
      </c>
      <c r="IQ31" s="3">
        <v>0.62719999999999998</v>
      </c>
      <c r="IR31" s="3">
        <v>3.9600000000000003E-2</v>
      </c>
      <c r="IS31" s="3">
        <v>0.31259999999999999</v>
      </c>
      <c r="IT31" s="1">
        <v>13742</v>
      </c>
      <c r="IU31" s="1">
        <v>4082</v>
      </c>
      <c r="IV31" s="1">
        <v>17824</v>
      </c>
      <c r="IW31" s="3">
        <v>0.32779999999999998</v>
      </c>
      <c r="IX31" s="1">
        <v>135761</v>
      </c>
      <c r="IZ31">
        <v>54</v>
      </c>
      <c r="JA31">
        <v>0</v>
      </c>
      <c r="JB31">
        <v>81</v>
      </c>
      <c r="JC31">
        <v>41</v>
      </c>
      <c r="JD31">
        <v>0</v>
      </c>
      <c r="JE31">
        <v>264</v>
      </c>
      <c r="JF31">
        <v>95</v>
      </c>
      <c r="JG31">
        <v>0</v>
      </c>
      <c r="JH31">
        <v>345</v>
      </c>
      <c r="JI31">
        <v>440</v>
      </c>
      <c r="JJ31">
        <v>135</v>
      </c>
      <c r="JK31">
        <v>305</v>
      </c>
      <c r="JL31">
        <v>656</v>
      </c>
      <c r="JM31">
        <v>0</v>
      </c>
      <c r="JN31" s="1">
        <v>2440</v>
      </c>
      <c r="JO31">
        <v>438</v>
      </c>
      <c r="JP31">
        <v>0</v>
      </c>
      <c r="JQ31" s="1">
        <v>6157</v>
      </c>
      <c r="JR31" s="1">
        <v>1094</v>
      </c>
      <c r="JS31">
        <v>0</v>
      </c>
      <c r="JT31" s="1">
        <v>8597</v>
      </c>
      <c r="JU31" s="1">
        <v>9691</v>
      </c>
      <c r="JV31" s="1">
        <v>3096</v>
      </c>
      <c r="JW31" s="1">
        <v>6595</v>
      </c>
      <c r="JX31">
        <v>22.03</v>
      </c>
      <c r="JY31">
        <v>11.52</v>
      </c>
      <c r="JZ31">
        <v>24.92</v>
      </c>
      <c r="KA31">
        <v>0.11</v>
      </c>
      <c r="KB31">
        <v>0.89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 s="1">
        <v>7304</v>
      </c>
      <c r="KN31" s="1">
        <v>4458</v>
      </c>
      <c r="KO31">
        <v>749</v>
      </c>
      <c r="KQ31">
        <v>406</v>
      </c>
      <c r="KR31" s="1">
        <v>2097</v>
      </c>
      <c r="KS31">
        <v>28</v>
      </c>
      <c r="KT31">
        <v>17</v>
      </c>
      <c r="KU31">
        <v>18</v>
      </c>
      <c r="KV31">
        <v>34</v>
      </c>
      <c r="KW31" s="1">
        <v>26686</v>
      </c>
      <c r="KY31" s="1">
        <v>68642</v>
      </c>
      <c r="KZ31" s="1">
        <v>35645</v>
      </c>
      <c r="LC31" t="s">
        <v>1090</v>
      </c>
      <c r="LD31" t="s">
        <v>803</v>
      </c>
      <c r="LE31" t="s">
        <v>1088</v>
      </c>
      <c r="LF31" t="s">
        <v>1089</v>
      </c>
      <c r="LG31">
        <v>27886</v>
      </c>
      <c r="LH31">
        <v>3818</v>
      </c>
      <c r="LI31" t="s">
        <v>1088</v>
      </c>
      <c r="LJ31" t="s">
        <v>1089</v>
      </c>
      <c r="LK31">
        <v>27886</v>
      </c>
      <c r="LL31">
        <v>3818</v>
      </c>
      <c r="LM31" t="s">
        <v>1091</v>
      </c>
      <c r="LN31">
        <v>2528231141</v>
      </c>
      <c r="LO31">
        <v>2528237699</v>
      </c>
      <c r="LP31" s="1">
        <v>23450</v>
      </c>
      <c r="LQ31">
        <v>12.9</v>
      </c>
      <c r="LS31" s="1">
        <v>4750</v>
      </c>
      <c r="LT31">
        <v>104</v>
      </c>
      <c r="LW31">
        <v>2</v>
      </c>
      <c r="LX31" t="s">
        <v>1099</v>
      </c>
      <c r="LY31">
        <v>0</v>
      </c>
      <c r="LZ31" t="s">
        <v>691</v>
      </c>
      <c r="MA31">
        <v>96.65</v>
      </c>
      <c r="MB31">
        <v>93.87</v>
      </c>
    </row>
    <row r="32" spans="1:340" x14ac:dyDescent="0.25">
      <c r="A32" t="s">
        <v>1100</v>
      </c>
      <c r="B32">
        <v>0</v>
      </c>
      <c r="C32">
        <v>1375</v>
      </c>
      <c r="D32">
        <v>2017</v>
      </c>
      <c r="E32">
        <v>0</v>
      </c>
      <c r="F32" t="s">
        <v>1100</v>
      </c>
      <c r="G32" t="s">
        <v>1101</v>
      </c>
      <c r="H32" t="s">
        <v>668</v>
      </c>
      <c r="I32" t="s">
        <v>899</v>
      </c>
      <c r="J32" t="s">
        <v>870</v>
      </c>
      <c r="K32" t="s">
        <v>671</v>
      </c>
      <c r="L32" t="s">
        <v>900</v>
      </c>
      <c r="M32" t="s">
        <v>673</v>
      </c>
      <c r="N32" s="1">
        <v>4702</v>
      </c>
      <c r="O32" t="s">
        <v>674</v>
      </c>
      <c r="P32">
        <v>94</v>
      </c>
      <c r="Q32">
        <v>8</v>
      </c>
      <c r="R32">
        <v>55</v>
      </c>
      <c r="S32">
        <v>5</v>
      </c>
      <c r="T32">
        <v>783</v>
      </c>
      <c r="U32">
        <v>25</v>
      </c>
      <c r="V32" s="1">
        <v>1822</v>
      </c>
      <c r="W32">
        <v>332</v>
      </c>
      <c r="Z32" t="s">
        <v>1102</v>
      </c>
      <c r="AA32" t="s">
        <v>1103</v>
      </c>
      <c r="AB32">
        <v>27828</v>
      </c>
      <c r="AD32" t="s">
        <v>1102</v>
      </c>
      <c r="AE32" t="s">
        <v>1103</v>
      </c>
      <c r="AF32">
        <v>27828</v>
      </c>
      <c r="AG32">
        <v>2</v>
      </c>
      <c r="AH32" t="s">
        <v>1104</v>
      </c>
      <c r="AJ32" t="s">
        <v>904</v>
      </c>
      <c r="AK32" t="s">
        <v>1105</v>
      </c>
      <c r="AL32" t="s">
        <v>1106</v>
      </c>
      <c r="AM32" t="s">
        <v>1107</v>
      </c>
      <c r="AO32" t="s">
        <v>1108</v>
      </c>
      <c r="AP32" t="s">
        <v>1106</v>
      </c>
      <c r="AQ32" t="s">
        <v>36</v>
      </c>
      <c r="AR32" t="s">
        <v>1107</v>
      </c>
      <c r="AT32" t="s">
        <v>1108</v>
      </c>
      <c r="AU32" t="s">
        <v>1109</v>
      </c>
      <c r="BC32">
        <v>1</v>
      </c>
      <c r="BD32">
        <v>0</v>
      </c>
      <c r="BE32">
        <v>0</v>
      </c>
      <c r="BF32">
        <v>0</v>
      </c>
      <c r="BG32">
        <v>1</v>
      </c>
      <c r="BI32" s="1">
        <v>2548</v>
      </c>
      <c r="BJ32">
        <v>1</v>
      </c>
      <c r="BK32">
        <v>1</v>
      </c>
      <c r="BL32">
        <v>2</v>
      </c>
      <c r="BM32">
        <v>2</v>
      </c>
      <c r="BN32">
        <v>4</v>
      </c>
      <c r="BO32" s="3">
        <v>0.25</v>
      </c>
      <c r="BP32">
        <v>60</v>
      </c>
      <c r="BQ32" s="4">
        <v>45240</v>
      </c>
      <c r="BY32" s="4">
        <v>36134</v>
      </c>
      <c r="BZ32" s="4">
        <v>54201</v>
      </c>
      <c r="DK32" s="4">
        <v>28312</v>
      </c>
      <c r="DL32" s="4">
        <v>42468</v>
      </c>
      <c r="DO32" s="4">
        <v>26964</v>
      </c>
      <c r="DP32" s="4">
        <v>40446</v>
      </c>
      <c r="DV32" s="4">
        <v>306301</v>
      </c>
      <c r="DW32" s="4">
        <v>5000</v>
      </c>
      <c r="DX32" s="4">
        <v>311301</v>
      </c>
      <c r="DY32" s="4">
        <v>3820</v>
      </c>
      <c r="DZ32" s="4">
        <v>0</v>
      </c>
      <c r="EA32" s="4">
        <v>3820</v>
      </c>
      <c r="EB32" s="4">
        <v>30565</v>
      </c>
      <c r="EC32" s="4">
        <v>0</v>
      </c>
      <c r="ED32" s="4">
        <v>30565</v>
      </c>
      <c r="EE32" s="4">
        <v>0</v>
      </c>
      <c r="EF32" s="4">
        <v>345686</v>
      </c>
      <c r="EG32" s="4">
        <v>154512</v>
      </c>
      <c r="EH32" s="4">
        <v>84739</v>
      </c>
      <c r="EI32" s="4">
        <v>239251</v>
      </c>
      <c r="EJ32" s="4">
        <v>20602</v>
      </c>
      <c r="EK32" s="4">
        <v>3940</v>
      </c>
      <c r="EL32" s="4">
        <v>8780</v>
      </c>
      <c r="EM32" s="4">
        <v>33322</v>
      </c>
      <c r="EN32" s="4">
        <v>73185</v>
      </c>
      <c r="EO32" s="4">
        <v>345758</v>
      </c>
      <c r="EP32" s="4">
        <v>-72</v>
      </c>
      <c r="EQ32" s="3">
        <v>-2.0000000000000001E-4</v>
      </c>
      <c r="ER32" s="4">
        <v>0</v>
      </c>
      <c r="ES32" s="4">
        <v>0</v>
      </c>
      <c r="ET32" s="4">
        <v>0</v>
      </c>
      <c r="EU32" s="4">
        <v>0</v>
      </c>
      <c r="EV32" s="4">
        <v>0</v>
      </c>
      <c r="EW32" s="4">
        <v>0</v>
      </c>
      <c r="EX32" s="1">
        <v>6683</v>
      </c>
      <c r="EY32" s="1">
        <v>120411</v>
      </c>
      <c r="EZ32" s="1">
        <v>6520</v>
      </c>
      <c r="FA32" s="1">
        <v>1693</v>
      </c>
      <c r="FB32" s="1">
        <v>8044</v>
      </c>
      <c r="FC32" s="1">
        <v>9715</v>
      </c>
      <c r="FD32" s="1">
        <v>1538</v>
      </c>
      <c r="FE32" s="1">
        <v>3989</v>
      </c>
      <c r="FF32" s="1">
        <v>16235</v>
      </c>
      <c r="FG32" s="1">
        <v>3231</v>
      </c>
      <c r="FH32" s="1">
        <v>12033</v>
      </c>
      <c r="FI32" s="1">
        <v>31499</v>
      </c>
      <c r="FJ32">
        <v>533</v>
      </c>
      <c r="FK32">
        <v>90</v>
      </c>
      <c r="FM32" s="1">
        <v>31499</v>
      </c>
      <c r="FN32">
        <v>416</v>
      </c>
      <c r="FO32" s="1">
        <v>1015</v>
      </c>
      <c r="FP32">
        <v>70</v>
      </c>
      <c r="FQ32">
        <v>4</v>
      </c>
      <c r="FR32">
        <v>88</v>
      </c>
      <c r="FS32">
        <v>92</v>
      </c>
      <c r="FT32" s="1">
        <v>44141</v>
      </c>
      <c r="FU32" s="1">
        <v>3505</v>
      </c>
      <c r="FV32">
        <v>0</v>
      </c>
      <c r="FW32">
        <v>0</v>
      </c>
      <c r="FX32" s="1">
        <v>8544</v>
      </c>
      <c r="FY32" s="1">
        <v>1573</v>
      </c>
      <c r="FZ32">
        <v>322</v>
      </c>
      <c r="GA32">
        <v>0</v>
      </c>
      <c r="GB32" s="1">
        <v>26436</v>
      </c>
      <c r="GC32" s="1">
        <v>1747</v>
      </c>
      <c r="GD32">
        <v>278</v>
      </c>
      <c r="GE32">
        <v>0</v>
      </c>
      <c r="GJ32">
        <v>100</v>
      </c>
      <c r="GK32">
        <v>0</v>
      </c>
      <c r="GL32">
        <v>0</v>
      </c>
      <c r="GM32">
        <v>50</v>
      </c>
      <c r="GN32" s="1">
        <v>79221</v>
      </c>
      <c r="GO32" s="1">
        <v>6825</v>
      </c>
      <c r="GP32">
        <v>600</v>
      </c>
      <c r="GQ32">
        <v>50</v>
      </c>
      <c r="GR32">
        <v>20</v>
      </c>
      <c r="GT32" s="1">
        <v>7504</v>
      </c>
      <c r="GU32">
        <v>753</v>
      </c>
      <c r="GV32" s="1">
        <v>4581</v>
      </c>
      <c r="GW32" s="1">
        <v>2127</v>
      </c>
      <c r="GX32">
        <v>107</v>
      </c>
      <c r="GY32">
        <v>640</v>
      </c>
      <c r="GZ32" s="1">
        <v>9631</v>
      </c>
      <c r="HA32">
        <v>860</v>
      </c>
      <c r="HB32" s="1">
        <v>5221</v>
      </c>
      <c r="HC32" s="1">
        <v>15712</v>
      </c>
      <c r="HD32">
        <v>865</v>
      </c>
      <c r="HE32" s="1">
        <v>21783</v>
      </c>
      <c r="HF32">
        <v>408</v>
      </c>
      <c r="HG32" s="1">
        <v>1019</v>
      </c>
      <c r="HH32" s="1">
        <v>5206</v>
      </c>
      <c r="HI32">
        <v>264</v>
      </c>
      <c r="HJ32" s="1">
        <v>1691</v>
      </c>
      <c r="HK32" s="1">
        <v>23474</v>
      </c>
      <c r="HL32">
        <v>19</v>
      </c>
      <c r="HM32" s="1">
        <v>1414</v>
      </c>
      <c r="HN32" s="1">
        <v>1433</v>
      </c>
      <c r="HO32">
        <v>18</v>
      </c>
      <c r="HP32">
        <v>290</v>
      </c>
      <c r="HQ32">
        <v>308</v>
      </c>
      <c r="HR32">
        <v>0</v>
      </c>
      <c r="HS32">
        <v>5</v>
      </c>
      <c r="HT32">
        <v>5</v>
      </c>
      <c r="HU32">
        <v>110</v>
      </c>
      <c r="HV32" s="1">
        <v>1856</v>
      </c>
      <c r="HW32" s="1">
        <v>2456</v>
      </c>
      <c r="HX32" s="1">
        <v>6852</v>
      </c>
      <c r="HY32" s="1">
        <v>9308</v>
      </c>
      <c r="HZ32" s="1">
        <v>11164</v>
      </c>
      <c r="IA32">
        <v>716</v>
      </c>
      <c r="IB32" s="1">
        <v>1740</v>
      </c>
      <c r="IC32" s="1">
        <v>25330</v>
      </c>
      <c r="ID32" s="1">
        <v>25330</v>
      </c>
      <c r="IE32" s="1">
        <v>34638</v>
      </c>
      <c r="IF32" s="1">
        <v>6081</v>
      </c>
      <c r="IG32">
        <v>279</v>
      </c>
      <c r="IJ32">
        <v>1</v>
      </c>
      <c r="IK32" s="3">
        <v>1.34E-2</v>
      </c>
      <c r="IL32" s="3">
        <v>6.9999999999999999E-4</v>
      </c>
      <c r="IM32" s="3">
        <v>0.72</v>
      </c>
      <c r="IN32" s="3">
        <v>0</v>
      </c>
      <c r="IO32" s="3">
        <v>0.65790000000000004</v>
      </c>
      <c r="IP32" s="3">
        <v>8.0000000000000004E-4</v>
      </c>
      <c r="IQ32" s="3">
        <v>0.2616</v>
      </c>
      <c r="IR32" s="3">
        <v>6.0100000000000001E-2</v>
      </c>
      <c r="IS32" s="3">
        <v>0.24010000000000001</v>
      </c>
      <c r="IT32" s="1">
        <v>5225</v>
      </c>
      <c r="IU32" s="1">
        <v>25201</v>
      </c>
      <c r="IV32" s="1">
        <v>30426</v>
      </c>
      <c r="IW32" s="3">
        <v>6.4709000000000003</v>
      </c>
      <c r="IX32" s="1">
        <v>33496</v>
      </c>
      <c r="IZ32">
        <v>87</v>
      </c>
      <c r="JA32">
        <v>1</v>
      </c>
      <c r="JB32">
        <v>162</v>
      </c>
      <c r="JC32">
        <v>12</v>
      </c>
      <c r="JD32">
        <v>2</v>
      </c>
      <c r="JE32">
        <v>107</v>
      </c>
      <c r="JF32">
        <v>99</v>
      </c>
      <c r="JG32">
        <v>3</v>
      </c>
      <c r="JH32">
        <v>269</v>
      </c>
      <c r="JI32">
        <v>371</v>
      </c>
      <c r="JJ32">
        <v>250</v>
      </c>
      <c r="JK32">
        <v>121</v>
      </c>
      <c r="JL32" s="1">
        <v>1067</v>
      </c>
      <c r="JM32">
        <v>6</v>
      </c>
      <c r="JN32" s="1">
        <v>3585</v>
      </c>
      <c r="JO32">
        <v>400</v>
      </c>
      <c r="JP32">
        <v>15</v>
      </c>
      <c r="JQ32">
        <v>485</v>
      </c>
      <c r="JR32" s="1">
        <v>1467</v>
      </c>
      <c r="JS32">
        <v>21</v>
      </c>
      <c r="JT32" s="1">
        <v>4070</v>
      </c>
      <c r="JU32" s="1">
        <v>5558</v>
      </c>
      <c r="JV32" s="1">
        <v>4658</v>
      </c>
      <c r="JW32">
        <v>900</v>
      </c>
      <c r="JX32">
        <v>14.98</v>
      </c>
      <c r="JY32">
        <v>14.82</v>
      </c>
      <c r="JZ32">
        <v>15.13</v>
      </c>
      <c r="KA32">
        <v>0.26</v>
      </c>
      <c r="KB32">
        <v>0.73</v>
      </c>
      <c r="KC32">
        <v>0</v>
      </c>
      <c r="KD32">
        <v>0</v>
      </c>
      <c r="KE32">
        <v>12</v>
      </c>
      <c r="KF32">
        <v>105</v>
      </c>
      <c r="KG32">
        <v>60</v>
      </c>
      <c r="KH32">
        <v>757</v>
      </c>
      <c r="KI32">
        <v>0</v>
      </c>
      <c r="KJ32">
        <v>0</v>
      </c>
      <c r="KK32">
        <v>10</v>
      </c>
      <c r="KL32">
        <v>28</v>
      </c>
      <c r="KM32" s="1">
        <v>13121</v>
      </c>
      <c r="KN32" s="1">
        <v>2761</v>
      </c>
      <c r="KO32">
        <v>39</v>
      </c>
      <c r="KQ32">
        <v>294</v>
      </c>
      <c r="KS32" s="1">
        <v>2150</v>
      </c>
      <c r="KT32">
        <v>791</v>
      </c>
      <c r="KU32">
        <v>7</v>
      </c>
      <c r="KV32">
        <v>20</v>
      </c>
      <c r="KW32" s="1">
        <v>8689</v>
      </c>
      <c r="KY32" s="1">
        <v>27459</v>
      </c>
      <c r="KZ32" s="1">
        <v>4434</v>
      </c>
      <c r="LC32" t="s">
        <v>1104</v>
      </c>
      <c r="LD32" t="s">
        <v>689</v>
      </c>
      <c r="LE32" t="s">
        <v>1102</v>
      </c>
      <c r="LF32" t="s">
        <v>1103</v>
      </c>
      <c r="LG32">
        <v>27828</v>
      </c>
      <c r="LH32">
        <v>1621</v>
      </c>
      <c r="LI32" t="s">
        <v>1102</v>
      </c>
      <c r="LJ32" t="s">
        <v>1103</v>
      </c>
      <c r="LK32">
        <v>27828</v>
      </c>
      <c r="LL32">
        <v>1621</v>
      </c>
      <c r="LM32" t="s">
        <v>1105</v>
      </c>
      <c r="LN32">
        <v>2527533355</v>
      </c>
      <c r="LP32" s="1">
        <v>9366</v>
      </c>
      <c r="LQ32">
        <v>4</v>
      </c>
      <c r="LS32" s="1">
        <v>2548</v>
      </c>
      <c r="LT32">
        <v>52</v>
      </c>
      <c r="LW32">
        <v>2</v>
      </c>
      <c r="LX32" t="s">
        <v>1110</v>
      </c>
      <c r="LY32">
        <v>0</v>
      </c>
      <c r="LZ32" t="s">
        <v>691</v>
      </c>
      <c r="MA32">
        <v>50</v>
      </c>
      <c r="MB32">
        <v>300</v>
      </c>
    </row>
    <row r="33" spans="1:340" x14ac:dyDescent="0.25">
      <c r="A33" t="s">
        <v>1111</v>
      </c>
      <c r="B33">
        <v>0</v>
      </c>
      <c r="C33">
        <v>1375</v>
      </c>
      <c r="D33">
        <v>2017</v>
      </c>
      <c r="E33">
        <v>0</v>
      </c>
      <c r="F33" t="s">
        <v>1111</v>
      </c>
      <c r="G33" t="s">
        <v>1112</v>
      </c>
      <c r="H33" t="s">
        <v>668</v>
      </c>
      <c r="I33" t="s">
        <v>694</v>
      </c>
      <c r="J33" t="s">
        <v>670</v>
      </c>
      <c r="K33" t="s">
        <v>671</v>
      </c>
      <c r="L33" t="s">
        <v>695</v>
      </c>
      <c r="M33" t="s">
        <v>673</v>
      </c>
      <c r="N33" s="1">
        <v>91321</v>
      </c>
      <c r="O33" t="s">
        <v>674</v>
      </c>
      <c r="P33" s="1">
        <v>1871</v>
      </c>
      <c r="Q33">
        <v>155</v>
      </c>
      <c r="R33">
        <v>341</v>
      </c>
      <c r="S33">
        <v>38</v>
      </c>
      <c r="T33" s="1">
        <v>11241</v>
      </c>
      <c r="U33" s="1">
        <v>1289</v>
      </c>
      <c r="V33" s="1">
        <v>34416</v>
      </c>
      <c r="W33" s="1">
        <v>3254</v>
      </c>
      <c r="X33" s="1">
        <v>911405</v>
      </c>
      <c r="Y33" s="1">
        <v>281132</v>
      </c>
      <c r="Z33" t="s">
        <v>1113</v>
      </c>
      <c r="AA33" t="s">
        <v>1114</v>
      </c>
      <c r="AB33">
        <v>28713</v>
      </c>
      <c r="AC33">
        <v>5667</v>
      </c>
      <c r="AD33" t="s">
        <v>1113</v>
      </c>
      <c r="AE33" t="s">
        <v>1114</v>
      </c>
      <c r="AF33">
        <v>28713</v>
      </c>
      <c r="AG33">
        <v>1</v>
      </c>
      <c r="AH33" t="s">
        <v>1115</v>
      </c>
      <c r="AJ33" t="s">
        <v>700</v>
      </c>
      <c r="AK33" t="s">
        <v>1116</v>
      </c>
      <c r="AL33" t="s">
        <v>1117</v>
      </c>
      <c r="AM33" t="s">
        <v>1118</v>
      </c>
      <c r="AN33" t="s">
        <v>1119</v>
      </c>
      <c r="AO33" t="s">
        <v>1120</v>
      </c>
      <c r="AP33" t="s">
        <v>1121</v>
      </c>
      <c r="AQ33" t="s">
        <v>1122</v>
      </c>
      <c r="AR33" t="s">
        <v>1123</v>
      </c>
      <c r="AS33" t="s">
        <v>1119</v>
      </c>
      <c r="AT33" t="s">
        <v>1124</v>
      </c>
      <c r="AU33" t="s">
        <v>1125</v>
      </c>
      <c r="BC33">
        <v>0</v>
      </c>
      <c r="BD33">
        <v>6</v>
      </c>
      <c r="BE33">
        <v>0</v>
      </c>
      <c r="BF33">
        <v>1</v>
      </c>
      <c r="BG33">
        <v>7</v>
      </c>
      <c r="BI33" s="1">
        <v>12901</v>
      </c>
      <c r="BJ33">
        <v>8</v>
      </c>
      <c r="BK33">
        <v>0</v>
      </c>
      <c r="BL33">
        <v>8</v>
      </c>
      <c r="BM33">
        <v>53.5</v>
      </c>
      <c r="BN33">
        <v>61.5</v>
      </c>
      <c r="BO33" s="3">
        <v>0.13009999999999999</v>
      </c>
      <c r="BP33" s="1">
        <v>5262</v>
      </c>
      <c r="BQ33" s="4">
        <v>79976</v>
      </c>
      <c r="BT33">
        <v>0</v>
      </c>
      <c r="BU33" s="4">
        <v>35006</v>
      </c>
      <c r="BV33" s="4">
        <v>47590</v>
      </c>
      <c r="BW33" s="4">
        <v>41434</v>
      </c>
      <c r="CO33" s="4">
        <v>44408</v>
      </c>
      <c r="CP33" s="4">
        <v>47965</v>
      </c>
      <c r="CQ33" s="4">
        <v>46187</v>
      </c>
      <c r="CR33" s="4">
        <v>33280</v>
      </c>
      <c r="CS33" s="4">
        <v>33280</v>
      </c>
      <c r="CT33" s="4">
        <v>33280</v>
      </c>
      <c r="DH33" s="4">
        <v>40040</v>
      </c>
      <c r="DI33" s="4">
        <v>40040</v>
      </c>
      <c r="DJ33" s="4">
        <v>40040</v>
      </c>
      <c r="DK33" s="4">
        <v>25272</v>
      </c>
      <c r="DL33" s="4">
        <v>35235</v>
      </c>
      <c r="DM33" s="4">
        <v>28350</v>
      </c>
      <c r="DO33" s="4">
        <v>18824</v>
      </c>
      <c r="DP33" s="4">
        <v>27747</v>
      </c>
      <c r="DQ33" s="4">
        <v>22131</v>
      </c>
      <c r="DS33" s="4">
        <v>21840</v>
      </c>
      <c r="DT33" s="4">
        <v>27539</v>
      </c>
      <c r="DU33" s="4">
        <v>24086</v>
      </c>
      <c r="DV33" s="4">
        <v>19890</v>
      </c>
      <c r="DW33" s="4">
        <v>2300512</v>
      </c>
      <c r="DX33" s="4">
        <v>2320402</v>
      </c>
      <c r="DY33" s="4">
        <v>326025</v>
      </c>
      <c r="DZ33" s="4">
        <v>54408</v>
      </c>
      <c r="EA33" s="4">
        <v>380433</v>
      </c>
      <c r="EB33" s="4">
        <v>55168</v>
      </c>
      <c r="EC33" s="4">
        <v>0</v>
      </c>
      <c r="ED33" s="4">
        <v>55168</v>
      </c>
      <c r="EE33" s="4">
        <v>550017</v>
      </c>
      <c r="EF33" s="4">
        <v>3306020</v>
      </c>
      <c r="EG33" s="4">
        <v>1696426</v>
      </c>
      <c r="EH33" s="4">
        <v>659139</v>
      </c>
      <c r="EI33" s="4">
        <v>2355565</v>
      </c>
      <c r="EJ33" s="4">
        <v>187532</v>
      </c>
      <c r="EK33" s="4">
        <v>50507</v>
      </c>
      <c r="EL33" s="4">
        <v>48885</v>
      </c>
      <c r="EM33" s="4">
        <v>286924</v>
      </c>
      <c r="EN33" s="4">
        <v>575448</v>
      </c>
      <c r="EO33" s="4">
        <v>3217937</v>
      </c>
      <c r="EP33" s="4">
        <v>88083</v>
      </c>
      <c r="EQ33" s="3">
        <v>2.6599999999999999E-2</v>
      </c>
      <c r="ER33" s="4">
        <v>0</v>
      </c>
      <c r="ES33" s="4">
        <v>0</v>
      </c>
      <c r="ET33" s="4">
        <v>0</v>
      </c>
      <c r="EU33" s="4">
        <v>0</v>
      </c>
      <c r="EV33" s="4">
        <v>0</v>
      </c>
      <c r="EW33" s="4">
        <v>0</v>
      </c>
      <c r="EX33" s="1">
        <v>33838</v>
      </c>
      <c r="EY33" s="1">
        <v>346637</v>
      </c>
      <c r="EZ33" s="1">
        <v>83489</v>
      </c>
      <c r="FA33" s="1">
        <v>5622</v>
      </c>
      <c r="FB33" s="1">
        <v>51026</v>
      </c>
      <c r="FC33" s="1">
        <v>58254</v>
      </c>
      <c r="FD33" s="1">
        <v>1343</v>
      </c>
      <c r="FE33" s="1">
        <v>22013</v>
      </c>
      <c r="FF33" s="1">
        <v>141743</v>
      </c>
      <c r="FG33" s="1">
        <v>6965</v>
      </c>
      <c r="FH33" s="1">
        <v>73039</v>
      </c>
      <c r="FI33" s="1">
        <v>221747</v>
      </c>
      <c r="FJ33" s="1">
        <v>7129</v>
      </c>
      <c r="FK33">
        <v>406</v>
      </c>
      <c r="FM33" s="1">
        <v>221747</v>
      </c>
      <c r="FN33" s="1">
        <v>9588</v>
      </c>
      <c r="FO33" s="1">
        <v>14561</v>
      </c>
      <c r="FP33" s="1">
        <v>1570</v>
      </c>
      <c r="FQ33">
        <v>2</v>
      </c>
      <c r="FR33">
        <v>88</v>
      </c>
      <c r="FS33">
        <v>90</v>
      </c>
      <c r="FT33" s="1">
        <v>44141</v>
      </c>
      <c r="FU33" s="1">
        <v>3505</v>
      </c>
      <c r="FV33">
        <v>0</v>
      </c>
      <c r="FW33">
        <v>0</v>
      </c>
      <c r="FX33" s="1">
        <v>8544</v>
      </c>
      <c r="FY33" s="1">
        <v>1573</v>
      </c>
      <c r="FZ33">
        <v>322</v>
      </c>
      <c r="GA33">
        <v>0</v>
      </c>
      <c r="GB33" s="1">
        <v>26436</v>
      </c>
      <c r="GC33" s="1">
        <v>1747</v>
      </c>
      <c r="GD33">
        <v>278</v>
      </c>
      <c r="GE33">
        <v>42</v>
      </c>
      <c r="GJ33">
        <v>512</v>
      </c>
      <c r="GK33" s="1">
        <v>4437</v>
      </c>
      <c r="GL33">
        <v>0</v>
      </c>
      <c r="GM33">
        <v>9</v>
      </c>
      <c r="GN33" s="1">
        <v>79633</v>
      </c>
      <c r="GO33" s="1">
        <v>11262</v>
      </c>
      <c r="GP33">
        <v>600</v>
      </c>
      <c r="GQ33">
        <v>51</v>
      </c>
      <c r="GR33">
        <v>170</v>
      </c>
      <c r="GT33" s="1">
        <v>124082</v>
      </c>
      <c r="GU33" s="1">
        <v>7319</v>
      </c>
      <c r="GV33" s="1">
        <v>83433</v>
      </c>
      <c r="GW33" s="1">
        <v>42574</v>
      </c>
      <c r="GX33" s="1">
        <v>1531</v>
      </c>
      <c r="GY33" s="1">
        <v>21358</v>
      </c>
      <c r="GZ33" s="1">
        <v>166656</v>
      </c>
      <c r="HA33" s="1">
        <v>8850</v>
      </c>
      <c r="HB33" s="1">
        <v>104791</v>
      </c>
      <c r="HC33" s="1">
        <v>280297</v>
      </c>
      <c r="HD33" s="1">
        <v>4992</v>
      </c>
      <c r="HE33" s="1">
        <v>287610</v>
      </c>
      <c r="HF33" s="1">
        <v>21824</v>
      </c>
      <c r="HG33" s="1">
        <v>29982</v>
      </c>
      <c r="HH33" s="1">
        <v>2321</v>
      </c>
      <c r="HI33" s="1">
        <v>1507</v>
      </c>
      <c r="HJ33" s="1">
        <v>53313</v>
      </c>
      <c r="HK33" s="1">
        <v>340923</v>
      </c>
      <c r="HL33">
        <v>87</v>
      </c>
      <c r="HM33" s="1">
        <v>42484</v>
      </c>
      <c r="HN33" s="1">
        <v>42571</v>
      </c>
      <c r="HO33">
        <v>867</v>
      </c>
      <c r="HP33" s="1">
        <v>7160</v>
      </c>
      <c r="HQ33" s="1">
        <v>8027</v>
      </c>
      <c r="HR33">
        <v>0</v>
      </c>
      <c r="HS33">
        <v>381</v>
      </c>
      <c r="HT33">
        <v>381</v>
      </c>
      <c r="HU33">
        <v>859</v>
      </c>
      <c r="HV33" s="1">
        <v>51838</v>
      </c>
      <c r="HW33" s="1">
        <v>7682</v>
      </c>
      <c r="HX33">
        <v>0</v>
      </c>
      <c r="HY33" s="1">
        <v>7682</v>
      </c>
      <c r="HZ33" s="1">
        <v>59520</v>
      </c>
      <c r="IA33" s="1">
        <v>29851</v>
      </c>
      <c r="IB33" s="1">
        <v>60214</v>
      </c>
      <c r="IC33" s="1">
        <v>392761</v>
      </c>
      <c r="ID33" s="1">
        <v>392761</v>
      </c>
      <c r="IE33" s="1">
        <v>400443</v>
      </c>
      <c r="IF33" s="1">
        <v>123380</v>
      </c>
      <c r="IG33" s="1">
        <v>12793</v>
      </c>
      <c r="IJ33">
        <v>1</v>
      </c>
      <c r="IK33" s="3">
        <v>4.3700000000000003E-2</v>
      </c>
      <c r="IL33" s="3">
        <v>1.1999999999999999E-3</v>
      </c>
      <c r="IM33" s="3">
        <v>0.2641</v>
      </c>
      <c r="IN33" s="3">
        <v>0</v>
      </c>
      <c r="IO33" s="3">
        <v>0.22969999999999999</v>
      </c>
      <c r="IP33" s="3">
        <v>2.9999999999999997E-4</v>
      </c>
      <c r="IQ33" s="3">
        <v>0.63970000000000005</v>
      </c>
      <c r="IR33" s="3">
        <v>6.0100000000000001E-2</v>
      </c>
      <c r="IS33" s="3">
        <v>0.31409999999999999</v>
      </c>
      <c r="IT33" s="1">
        <v>40371</v>
      </c>
      <c r="IU33" s="1">
        <v>7112</v>
      </c>
      <c r="IV33" s="1">
        <v>47483</v>
      </c>
      <c r="IW33" s="3">
        <v>0.52</v>
      </c>
      <c r="IX33" s="1">
        <v>409425</v>
      </c>
      <c r="IZ33">
        <v>646</v>
      </c>
      <c r="JA33">
        <v>120</v>
      </c>
      <c r="JB33">
        <v>920</v>
      </c>
      <c r="JC33">
        <v>5</v>
      </c>
      <c r="JD33">
        <v>3</v>
      </c>
      <c r="JE33">
        <v>954</v>
      </c>
      <c r="JF33">
        <v>651</v>
      </c>
      <c r="JG33">
        <v>123</v>
      </c>
      <c r="JH33" s="1">
        <v>1874</v>
      </c>
      <c r="JI33" s="1">
        <v>2648</v>
      </c>
      <c r="JJ33" s="1">
        <v>1686</v>
      </c>
      <c r="JK33">
        <v>962</v>
      </c>
      <c r="JL33" s="1">
        <v>10537</v>
      </c>
      <c r="JM33" s="1">
        <v>1239</v>
      </c>
      <c r="JN33" s="1">
        <v>21602</v>
      </c>
      <c r="JO33" s="1">
        <v>1217</v>
      </c>
      <c r="JP33">
        <v>137</v>
      </c>
      <c r="JQ33" s="1">
        <v>25558</v>
      </c>
      <c r="JR33" s="1">
        <v>11754</v>
      </c>
      <c r="JS33" s="1">
        <v>1376</v>
      </c>
      <c r="JT33" s="1">
        <v>47160</v>
      </c>
      <c r="JU33" s="1">
        <v>60290</v>
      </c>
      <c r="JV33" s="1">
        <v>33378</v>
      </c>
      <c r="JW33" s="1">
        <v>26912</v>
      </c>
      <c r="JX33">
        <v>22.77</v>
      </c>
      <c r="JY33">
        <v>18.059999999999999</v>
      </c>
      <c r="JZ33">
        <v>25.17</v>
      </c>
      <c r="KA33">
        <v>0.19</v>
      </c>
      <c r="KB33">
        <v>0.78</v>
      </c>
      <c r="KC33">
        <v>2</v>
      </c>
      <c r="KD33">
        <v>2</v>
      </c>
      <c r="KE33">
        <v>47</v>
      </c>
      <c r="KF33">
        <v>518</v>
      </c>
      <c r="KG33">
        <v>101</v>
      </c>
      <c r="KH33" s="1">
        <v>1125</v>
      </c>
      <c r="KI33">
        <v>9</v>
      </c>
      <c r="KJ33">
        <v>138</v>
      </c>
      <c r="KK33">
        <v>19</v>
      </c>
      <c r="KL33">
        <v>177</v>
      </c>
      <c r="KM33" s="1">
        <v>105757</v>
      </c>
      <c r="KN33" s="1">
        <v>40737</v>
      </c>
      <c r="KO33" s="1">
        <v>1453</v>
      </c>
      <c r="KQ33" s="1">
        <v>7068</v>
      </c>
      <c r="KR33" s="1">
        <v>30272</v>
      </c>
      <c r="KS33" s="1">
        <v>23507</v>
      </c>
      <c r="KT33" s="1">
        <v>11502</v>
      </c>
      <c r="KU33">
        <v>98</v>
      </c>
      <c r="KV33">
        <v>122</v>
      </c>
      <c r="KW33" s="1">
        <v>47134</v>
      </c>
      <c r="KY33" s="1">
        <v>73232</v>
      </c>
      <c r="KZ33" s="1">
        <v>69851</v>
      </c>
      <c r="LC33" t="s">
        <v>1126</v>
      </c>
      <c r="LD33" t="s">
        <v>709</v>
      </c>
      <c r="LE33" t="s">
        <v>1127</v>
      </c>
      <c r="LF33" t="s">
        <v>1128</v>
      </c>
      <c r="LG33">
        <v>28717</v>
      </c>
      <c r="LH33">
        <v>2194</v>
      </c>
      <c r="LI33" t="s">
        <v>1129</v>
      </c>
      <c r="LJ33" t="s">
        <v>1128</v>
      </c>
      <c r="LK33">
        <v>28717</v>
      </c>
      <c r="LM33" t="s">
        <v>1130</v>
      </c>
      <c r="LN33">
        <v>8287430215</v>
      </c>
      <c r="LO33">
        <v>8287431638</v>
      </c>
      <c r="LP33" s="1">
        <v>84456</v>
      </c>
      <c r="LQ33">
        <v>54.53</v>
      </c>
      <c r="LS33" s="1">
        <v>12901</v>
      </c>
      <c r="LT33">
        <v>312</v>
      </c>
      <c r="LW33">
        <v>8</v>
      </c>
      <c r="LX33" t="s">
        <v>1131</v>
      </c>
      <c r="LY33">
        <v>0</v>
      </c>
      <c r="LZ33" t="s">
        <v>738</v>
      </c>
      <c r="MA33">
        <v>39.56</v>
      </c>
      <c r="MB33">
        <v>70.760000000000005</v>
      </c>
    </row>
    <row r="34" spans="1:340" x14ac:dyDescent="0.25">
      <c r="A34" t="s">
        <v>1132</v>
      </c>
      <c r="B34">
        <v>0</v>
      </c>
      <c r="C34">
        <v>1375</v>
      </c>
      <c r="D34">
        <v>2017</v>
      </c>
      <c r="E34">
        <v>0</v>
      </c>
      <c r="F34" t="s">
        <v>1132</v>
      </c>
      <c r="G34" t="s">
        <v>1133</v>
      </c>
      <c r="H34" t="s">
        <v>668</v>
      </c>
      <c r="I34" t="s">
        <v>669</v>
      </c>
      <c r="J34" t="s">
        <v>670</v>
      </c>
      <c r="K34" t="s">
        <v>671</v>
      </c>
      <c r="L34" t="s">
        <v>791</v>
      </c>
      <c r="M34" t="s">
        <v>673</v>
      </c>
      <c r="N34" s="1">
        <v>366531</v>
      </c>
      <c r="O34" t="s">
        <v>674</v>
      </c>
      <c r="P34">
        <v>884</v>
      </c>
      <c r="Q34">
        <v>475</v>
      </c>
      <c r="R34">
        <v>320</v>
      </c>
      <c r="S34">
        <v>42</v>
      </c>
      <c r="T34" s="1">
        <v>16485</v>
      </c>
      <c r="U34">
        <v>350</v>
      </c>
      <c r="V34" s="1">
        <v>66567</v>
      </c>
      <c r="W34" s="1">
        <v>6083</v>
      </c>
      <c r="X34" s="1">
        <v>4104</v>
      </c>
      <c r="Y34" s="1">
        <v>12000</v>
      </c>
      <c r="Z34" t="s">
        <v>1134</v>
      </c>
      <c r="AA34" t="s">
        <v>1135</v>
      </c>
      <c r="AB34">
        <v>27101</v>
      </c>
      <c r="AC34">
        <v>4120</v>
      </c>
      <c r="AD34" t="s">
        <v>1136</v>
      </c>
      <c r="AE34" t="s">
        <v>1135</v>
      </c>
      <c r="AF34">
        <v>27101</v>
      </c>
      <c r="AG34">
        <v>3</v>
      </c>
      <c r="AH34" t="s">
        <v>1137</v>
      </c>
      <c r="AJ34" t="s">
        <v>35</v>
      </c>
      <c r="AK34" t="s">
        <v>1138</v>
      </c>
      <c r="AL34" t="s">
        <v>1139</v>
      </c>
      <c r="AM34" t="s">
        <v>1140</v>
      </c>
      <c r="AN34" t="s">
        <v>1141</v>
      </c>
      <c r="AO34" t="s">
        <v>1142</v>
      </c>
      <c r="AP34" t="s">
        <v>1139</v>
      </c>
      <c r="AQ34" t="s">
        <v>36</v>
      </c>
      <c r="AR34" t="s">
        <v>1140</v>
      </c>
      <c r="AT34" t="s">
        <v>1143</v>
      </c>
      <c r="AU34" t="s">
        <v>1144</v>
      </c>
      <c r="BC34">
        <v>1</v>
      </c>
      <c r="BD34">
        <v>11</v>
      </c>
      <c r="BE34">
        <v>2</v>
      </c>
      <c r="BF34">
        <v>4</v>
      </c>
      <c r="BG34">
        <v>18</v>
      </c>
      <c r="BI34" s="1">
        <v>33265</v>
      </c>
      <c r="BJ34">
        <v>46.5</v>
      </c>
      <c r="BK34">
        <v>1</v>
      </c>
      <c r="BL34">
        <v>47.5</v>
      </c>
      <c r="BM34">
        <v>56.3</v>
      </c>
      <c r="BN34">
        <v>103.8</v>
      </c>
      <c r="BO34" s="3">
        <v>0.44800000000000001</v>
      </c>
      <c r="BP34" s="1">
        <v>13713</v>
      </c>
      <c r="BQ34" s="4">
        <v>133948</v>
      </c>
      <c r="BT34" s="1">
        <v>99507</v>
      </c>
      <c r="BU34" s="4">
        <v>38668</v>
      </c>
      <c r="BV34" s="4">
        <v>65735</v>
      </c>
      <c r="BW34" s="4">
        <v>51573</v>
      </c>
      <c r="BY34" s="4">
        <v>38668</v>
      </c>
      <c r="BZ34" s="4">
        <v>65735</v>
      </c>
      <c r="CA34" s="4">
        <v>51573</v>
      </c>
      <c r="CC34" s="4">
        <v>38668</v>
      </c>
      <c r="CD34" s="4">
        <v>65735</v>
      </c>
      <c r="CE34" s="1">
        <v>51573</v>
      </c>
      <c r="CG34" s="4">
        <v>38668</v>
      </c>
      <c r="CH34" s="4">
        <v>65735</v>
      </c>
      <c r="CI34" s="4">
        <v>51573</v>
      </c>
      <c r="CK34" s="4">
        <v>38668</v>
      </c>
      <c r="CL34" s="4">
        <v>65735</v>
      </c>
      <c r="CM34" s="1">
        <v>51573</v>
      </c>
      <c r="CO34" s="4">
        <v>42631</v>
      </c>
      <c r="CP34" s="4">
        <v>72473</v>
      </c>
      <c r="CQ34" s="4">
        <v>67537</v>
      </c>
      <c r="CR34" s="4">
        <v>35073</v>
      </c>
      <c r="CS34" s="4">
        <v>59624</v>
      </c>
      <c r="CT34" s="4">
        <v>39756</v>
      </c>
      <c r="CV34" s="4">
        <v>35073</v>
      </c>
      <c r="CW34" s="4">
        <v>59624</v>
      </c>
      <c r="CX34" s="4">
        <v>39756</v>
      </c>
      <c r="CZ34" s="4">
        <v>35073</v>
      </c>
      <c r="DA34" s="4">
        <v>59624</v>
      </c>
      <c r="DB34" s="4">
        <v>39756</v>
      </c>
      <c r="DD34" s="4">
        <v>35073</v>
      </c>
      <c r="DE34" s="4">
        <v>59624</v>
      </c>
      <c r="DF34" s="4">
        <v>39756</v>
      </c>
      <c r="DH34" s="4">
        <v>35073</v>
      </c>
      <c r="DI34" s="4">
        <v>59624</v>
      </c>
      <c r="DJ34" s="4">
        <v>39756</v>
      </c>
      <c r="DK34" s="4">
        <v>27480</v>
      </c>
      <c r="DL34" s="4">
        <v>46717</v>
      </c>
      <c r="DM34" s="4">
        <v>27861</v>
      </c>
      <c r="DO34" s="4">
        <v>26172</v>
      </c>
      <c r="DP34" s="4">
        <v>44492</v>
      </c>
      <c r="DQ34" s="4">
        <v>31532</v>
      </c>
      <c r="DS34" s="4">
        <v>35079</v>
      </c>
      <c r="DT34" s="4">
        <v>59624</v>
      </c>
      <c r="DU34" s="4">
        <v>35796</v>
      </c>
      <c r="DV34" s="4">
        <v>0</v>
      </c>
      <c r="DW34" s="4">
        <v>7060367</v>
      </c>
      <c r="DX34" s="4">
        <v>7060367</v>
      </c>
      <c r="DY34" s="4">
        <v>292277</v>
      </c>
      <c r="DZ34" s="4">
        <v>0</v>
      </c>
      <c r="EA34" s="4">
        <v>292277</v>
      </c>
      <c r="EB34" s="4">
        <v>100984</v>
      </c>
      <c r="EC34" s="4">
        <v>0</v>
      </c>
      <c r="ED34" s="4">
        <v>100984</v>
      </c>
      <c r="EE34" s="4">
        <v>195225</v>
      </c>
      <c r="EF34" s="4">
        <v>7648853</v>
      </c>
      <c r="EG34" s="4">
        <v>3475663</v>
      </c>
      <c r="EH34" s="4">
        <v>1498217</v>
      </c>
      <c r="EI34" s="4">
        <v>4973880</v>
      </c>
      <c r="EJ34" s="4">
        <v>552106</v>
      </c>
      <c r="EK34" s="4">
        <v>306884</v>
      </c>
      <c r="EL34" s="4">
        <v>149901</v>
      </c>
      <c r="EM34" s="4">
        <v>1008891</v>
      </c>
      <c r="EN34" s="4">
        <v>1666082</v>
      </c>
      <c r="EO34" s="4">
        <v>7648853</v>
      </c>
      <c r="EP34" s="4">
        <v>0</v>
      </c>
      <c r="EQ34" s="3">
        <v>0</v>
      </c>
      <c r="ER34" s="4">
        <v>0</v>
      </c>
      <c r="ES34" s="4">
        <v>0</v>
      </c>
      <c r="ET34" s="4">
        <v>0</v>
      </c>
      <c r="EU34" s="4">
        <v>0</v>
      </c>
      <c r="EV34" s="4">
        <v>0</v>
      </c>
      <c r="EW34" s="4">
        <v>0</v>
      </c>
      <c r="EX34" s="1">
        <v>86439</v>
      </c>
      <c r="EY34" s="1">
        <v>836347</v>
      </c>
      <c r="EZ34" s="1">
        <v>207447</v>
      </c>
      <c r="FA34" s="1">
        <v>18044</v>
      </c>
      <c r="FB34" s="1">
        <v>139080</v>
      </c>
      <c r="FC34" s="1">
        <v>159213</v>
      </c>
      <c r="FD34" s="1">
        <v>1907</v>
      </c>
      <c r="FE34" s="1">
        <v>72119</v>
      </c>
      <c r="FF34" s="1">
        <v>366660</v>
      </c>
      <c r="FG34" s="1">
        <v>19951</v>
      </c>
      <c r="FH34" s="1">
        <v>211199</v>
      </c>
      <c r="FI34" s="1">
        <v>597810</v>
      </c>
      <c r="FJ34" s="1">
        <v>23765</v>
      </c>
      <c r="FK34" s="1">
        <v>1528</v>
      </c>
      <c r="FM34" s="1">
        <v>597810</v>
      </c>
      <c r="FN34" s="1">
        <v>31195</v>
      </c>
      <c r="FO34" s="1">
        <v>30798</v>
      </c>
      <c r="FP34" s="1">
        <v>3911</v>
      </c>
      <c r="FQ34">
        <v>28</v>
      </c>
      <c r="FR34">
        <v>88</v>
      </c>
      <c r="FS34">
        <v>116</v>
      </c>
      <c r="FT34" s="1">
        <v>44141</v>
      </c>
      <c r="FU34" s="1">
        <v>3505</v>
      </c>
      <c r="FV34">
        <v>0</v>
      </c>
      <c r="FW34">
        <v>0</v>
      </c>
      <c r="FX34" s="1">
        <v>8544</v>
      </c>
      <c r="FY34" s="1">
        <v>1573</v>
      </c>
      <c r="FZ34">
        <v>322</v>
      </c>
      <c r="GA34">
        <v>0</v>
      </c>
      <c r="GE34">
        <v>-1</v>
      </c>
      <c r="GF34" s="1">
        <v>36593</v>
      </c>
      <c r="GG34" s="1">
        <v>13194</v>
      </c>
      <c r="GH34">
        <v>264</v>
      </c>
      <c r="GI34">
        <v>12</v>
      </c>
      <c r="GJ34" s="1">
        <v>31594</v>
      </c>
      <c r="GK34" s="1">
        <v>7235</v>
      </c>
      <c r="GL34">
        <v>248</v>
      </c>
      <c r="GM34">
        <v>0</v>
      </c>
      <c r="GN34" s="1">
        <v>120872</v>
      </c>
      <c r="GO34" s="1">
        <v>25507</v>
      </c>
      <c r="GP34">
        <v>834</v>
      </c>
      <c r="GQ34">
        <v>11</v>
      </c>
      <c r="GR34">
        <v>128</v>
      </c>
      <c r="GT34" s="1">
        <v>398357</v>
      </c>
      <c r="GU34" s="1">
        <v>32315</v>
      </c>
      <c r="GV34" s="1">
        <v>327788</v>
      </c>
      <c r="GW34" s="1">
        <v>85274</v>
      </c>
      <c r="GX34" s="1">
        <v>1933</v>
      </c>
      <c r="GY34" s="1">
        <v>72719</v>
      </c>
      <c r="GZ34" s="1">
        <v>483631</v>
      </c>
      <c r="HA34" s="1">
        <v>34248</v>
      </c>
      <c r="HB34" s="1">
        <v>400507</v>
      </c>
      <c r="HC34" s="1">
        <v>918386</v>
      </c>
      <c r="HD34" s="1">
        <v>16190</v>
      </c>
      <c r="HE34" s="1">
        <v>934700</v>
      </c>
      <c r="HF34" s="1">
        <v>78545</v>
      </c>
      <c r="HG34" s="1">
        <v>184444</v>
      </c>
      <c r="HH34">
        <v>124</v>
      </c>
      <c r="HI34" s="1">
        <v>100810</v>
      </c>
      <c r="HJ34" s="1">
        <v>363799</v>
      </c>
      <c r="HK34" s="1">
        <v>1298499</v>
      </c>
      <c r="HL34">
        <v>331</v>
      </c>
      <c r="HM34" s="1">
        <v>118761</v>
      </c>
      <c r="HN34" s="1">
        <v>119092</v>
      </c>
      <c r="HO34" s="1">
        <v>1407</v>
      </c>
      <c r="HP34" s="1">
        <v>64674</v>
      </c>
      <c r="HQ34" s="1">
        <v>66081</v>
      </c>
      <c r="HR34">
        <v>0</v>
      </c>
      <c r="HS34">
        <v>711</v>
      </c>
      <c r="HT34">
        <v>711</v>
      </c>
      <c r="HU34" s="1">
        <v>3668</v>
      </c>
      <c r="HV34" s="1">
        <v>189552</v>
      </c>
      <c r="HW34" s="1">
        <v>231337</v>
      </c>
      <c r="HX34">
        <v>-1</v>
      </c>
      <c r="HY34" s="1">
        <v>231336</v>
      </c>
      <c r="HZ34" s="1">
        <v>420888</v>
      </c>
      <c r="IA34" s="1">
        <v>144626</v>
      </c>
      <c r="IB34" s="1">
        <v>329781</v>
      </c>
      <c r="IC34" s="1">
        <v>1488051</v>
      </c>
      <c r="ID34" s="1">
        <v>1488051</v>
      </c>
      <c r="IE34" s="1">
        <v>1719387</v>
      </c>
      <c r="IF34" s="1">
        <v>445158</v>
      </c>
      <c r="IG34">
        <v>421</v>
      </c>
      <c r="IJ34">
        <v>1</v>
      </c>
      <c r="IK34" s="3">
        <v>3.78E-2</v>
      </c>
      <c r="IL34" s="3">
        <v>1.8E-3</v>
      </c>
      <c r="IM34" s="3">
        <v>0.17599999999999999</v>
      </c>
      <c r="IN34" s="3">
        <v>0</v>
      </c>
      <c r="IO34" s="3">
        <v>0.14449999999999999</v>
      </c>
      <c r="IP34" s="3">
        <v>1E-4</v>
      </c>
      <c r="IQ34" s="3">
        <v>0.71479999999999999</v>
      </c>
      <c r="IR34" s="3">
        <v>6.7799999999999999E-2</v>
      </c>
      <c r="IS34" s="3">
        <v>0.29920000000000002</v>
      </c>
      <c r="IT34" s="1">
        <v>129686</v>
      </c>
      <c r="IU34" s="1">
        <v>35252</v>
      </c>
      <c r="IV34" s="1">
        <v>164938</v>
      </c>
      <c r="IW34" s="3">
        <v>0.45</v>
      </c>
      <c r="IX34" s="1">
        <v>1041176</v>
      </c>
      <c r="IZ34" s="1">
        <v>2988</v>
      </c>
      <c r="JA34">
        <v>168</v>
      </c>
      <c r="JB34" s="1">
        <v>1383</v>
      </c>
      <c r="JC34">
        <v>361</v>
      </c>
      <c r="JD34">
        <v>9</v>
      </c>
      <c r="JE34">
        <v>369</v>
      </c>
      <c r="JF34" s="1">
        <v>3349</v>
      </c>
      <c r="JG34">
        <v>177</v>
      </c>
      <c r="JH34" s="1">
        <v>1752</v>
      </c>
      <c r="JI34" s="1">
        <v>5278</v>
      </c>
      <c r="JJ34" s="1">
        <v>4539</v>
      </c>
      <c r="JK34">
        <v>739</v>
      </c>
      <c r="JL34" s="1">
        <v>43302</v>
      </c>
      <c r="JM34" s="1">
        <v>1646</v>
      </c>
      <c r="JN34" s="1">
        <v>45332</v>
      </c>
      <c r="JO34" s="1">
        <v>7176</v>
      </c>
      <c r="JP34">
        <v>929</v>
      </c>
      <c r="JQ34" s="1">
        <v>19400</v>
      </c>
      <c r="JR34" s="1">
        <v>50478</v>
      </c>
      <c r="JS34" s="1">
        <v>2575</v>
      </c>
      <c r="JT34" s="1">
        <v>64732</v>
      </c>
      <c r="JU34" s="1">
        <v>117785</v>
      </c>
      <c r="JV34" s="1">
        <v>90280</v>
      </c>
      <c r="JW34" s="1">
        <v>27505</v>
      </c>
      <c r="JX34">
        <v>22.32</v>
      </c>
      <c r="JY34">
        <v>15.07</v>
      </c>
      <c r="JZ34">
        <v>36.950000000000003</v>
      </c>
      <c r="KA34">
        <v>0.43</v>
      </c>
      <c r="KB34">
        <v>0.55000000000000004</v>
      </c>
      <c r="KC34">
        <v>460</v>
      </c>
      <c r="KD34">
        <v>941</v>
      </c>
      <c r="KE34">
        <v>887</v>
      </c>
      <c r="KF34" s="1">
        <v>1352</v>
      </c>
      <c r="KG34">
        <v>262</v>
      </c>
      <c r="KH34" s="1">
        <v>18283</v>
      </c>
      <c r="KI34">
        <v>5</v>
      </c>
      <c r="KJ34">
        <v>50</v>
      </c>
      <c r="KK34">
        <v>10</v>
      </c>
      <c r="KL34">
        <v>160</v>
      </c>
      <c r="KM34" s="1">
        <v>318330</v>
      </c>
      <c r="KN34" s="1">
        <v>89924</v>
      </c>
      <c r="KO34" s="1">
        <v>19184</v>
      </c>
      <c r="KQ34" s="1">
        <v>3898</v>
      </c>
      <c r="KR34" s="1">
        <v>57637</v>
      </c>
      <c r="KS34" s="1">
        <v>72046</v>
      </c>
      <c r="KT34" s="1">
        <v>17951</v>
      </c>
      <c r="KU34">
        <v>113</v>
      </c>
      <c r="KV34">
        <v>116</v>
      </c>
      <c r="KW34" s="1">
        <v>283723</v>
      </c>
      <c r="KY34" s="1">
        <v>2637709</v>
      </c>
      <c r="KZ34">
        <v>-1</v>
      </c>
      <c r="LC34" t="s">
        <v>1137</v>
      </c>
      <c r="LD34" t="s">
        <v>709</v>
      </c>
      <c r="LE34" t="s">
        <v>1136</v>
      </c>
      <c r="LF34" t="s">
        <v>1135</v>
      </c>
      <c r="LG34">
        <v>27101</v>
      </c>
      <c r="LH34">
        <v>2705</v>
      </c>
      <c r="LI34" t="s">
        <v>1136</v>
      </c>
      <c r="LJ34" t="s">
        <v>1135</v>
      </c>
      <c r="LK34">
        <v>27101</v>
      </c>
      <c r="LL34">
        <v>2705</v>
      </c>
      <c r="LM34" t="s">
        <v>1138</v>
      </c>
      <c r="LN34">
        <v>3367033011</v>
      </c>
      <c r="LP34" s="1">
        <v>199547</v>
      </c>
      <c r="LQ34">
        <v>103.8</v>
      </c>
      <c r="LS34" s="1">
        <v>33265</v>
      </c>
      <c r="LT34">
        <v>676</v>
      </c>
      <c r="LW34">
        <v>2</v>
      </c>
      <c r="LX34" t="s">
        <v>1145</v>
      </c>
      <c r="LY34">
        <v>0</v>
      </c>
      <c r="LZ34" t="s">
        <v>691</v>
      </c>
      <c r="MA34">
        <v>11</v>
      </c>
      <c r="MB34">
        <v>10</v>
      </c>
    </row>
    <row r="35" spans="1:340" x14ac:dyDescent="0.25">
      <c r="A35" t="s">
        <v>1146</v>
      </c>
      <c r="B35">
        <v>0</v>
      </c>
      <c r="C35">
        <v>1375</v>
      </c>
      <c r="D35">
        <v>2017</v>
      </c>
      <c r="E35">
        <v>0</v>
      </c>
      <c r="F35" t="s">
        <v>1146</v>
      </c>
      <c r="G35" t="s">
        <v>1147</v>
      </c>
      <c r="H35" t="s">
        <v>668</v>
      </c>
      <c r="I35" t="s">
        <v>669</v>
      </c>
      <c r="J35" t="s">
        <v>670</v>
      </c>
      <c r="K35" t="s">
        <v>671</v>
      </c>
      <c r="L35" t="s">
        <v>672</v>
      </c>
      <c r="M35" t="s">
        <v>673</v>
      </c>
      <c r="N35" s="1">
        <v>64206</v>
      </c>
      <c r="O35" t="s">
        <v>674</v>
      </c>
      <c r="R35">
        <v>70</v>
      </c>
      <c r="S35">
        <v>9</v>
      </c>
      <c r="T35">
        <v>514</v>
      </c>
      <c r="U35">
        <v>177</v>
      </c>
      <c r="V35" s="1">
        <v>16222</v>
      </c>
      <c r="W35" s="1">
        <v>2494</v>
      </c>
      <c r="Z35" t="s">
        <v>1148</v>
      </c>
      <c r="AA35" t="s">
        <v>1149</v>
      </c>
      <c r="AB35">
        <v>27549</v>
      </c>
      <c r="AC35">
        <v>1217</v>
      </c>
      <c r="AD35" t="s">
        <v>1148</v>
      </c>
      <c r="AE35" t="s">
        <v>1149</v>
      </c>
      <c r="AF35">
        <v>27549</v>
      </c>
      <c r="AG35">
        <v>2</v>
      </c>
      <c r="AH35" t="s">
        <v>1150</v>
      </c>
      <c r="AJ35" t="s">
        <v>35</v>
      </c>
      <c r="AK35" t="s">
        <v>1151</v>
      </c>
      <c r="AL35" t="s">
        <v>1152</v>
      </c>
      <c r="AM35" t="s">
        <v>1153</v>
      </c>
      <c r="AN35" t="s">
        <v>1154</v>
      </c>
      <c r="AO35" t="s">
        <v>1155</v>
      </c>
      <c r="AP35" t="s">
        <v>1156</v>
      </c>
      <c r="AQ35" t="s">
        <v>1157</v>
      </c>
      <c r="AR35" t="s">
        <v>1153</v>
      </c>
      <c r="AS35" t="s">
        <v>1154</v>
      </c>
      <c r="AT35" t="s">
        <v>1158</v>
      </c>
      <c r="AU35" t="s">
        <v>1159</v>
      </c>
      <c r="BC35">
        <v>1</v>
      </c>
      <c r="BD35">
        <v>3</v>
      </c>
      <c r="BE35">
        <v>1</v>
      </c>
      <c r="BF35">
        <v>0</v>
      </c>
      <c r="BG35">
        <v>5</v>
      </c>
      <c r="BI35" s="1">
        <v>9430</v>
      </c>
      <c r="BJ35">
        <v>3</v>
      </c>
      <c r="BK35">
        <v>0</v>
      </c>
      <c r="BL35">
        <v>3</v>
      </c>
      <c r="BM35">
        <v>10.57</v>
      </c>
      <c r="BN35">
        <v>13.57</v>
      </c>
      <c r="BO35" s="3">
        <v>0.22109999999999999</v>
      </c>
      <c r="BP35" s="1">
        <v>1200</v>
      </c>
      <c r="BQ35" s="4">
        <v>75141</v>
      </c>
      <c r="BT35">
        <v>0</v>
      </c>
      <c r="BU35" s="4">
        <v>32959</v>
      </c>
      <c r="BV35" s="4">
        <v>51087</v>
      </c>
      <c r="BW35" s="4">
        <v>35955</v>
      </c>
      <c r="BY35" s="4">
        <v>44169</v>
      </c>
      <c r="BZ35" s="4">
        <v>68461</v>
      </c>
      <c r="CA35" s="4">
        <v>45494</v>
      </c>
      <c r="CC35" s="4">
        <v>44169</v>
      </c>
      <c r="CD35" s="4">
        <v>68461</v>
      </c>
      <c r="CE35" s="1">
        <v>48108</v>
      </c>
      <c r="CG35" s="4">
        <v>36338</v>
      </c>
      <c r="CH35" s="4">
        <v>56323</v>
      </c>
      <c r="CI35" s="4">
        <v>46579</v>
      </c>
      <c r="CK35" s="4">
        <v>40062</v>
      </c>
      <c r="CL35" s="4">
        <v>62096</v>
      </c>
      <c r="CM35" s="1">
        <v>45827</v>
      </c>
      <c r="DH35" s="4">
        <v>32959</v>
      </c>
      <c r="DI35" s="4">
        <v>51087</v>
      </c>
      <c r="DJ35" s="4">
        <v>42366</v>
      </c>
      <c r="DO35" s="4">
        <v>22726</v>
      </c>
      <c r="DQ35" s="4">
        <v>24211</v>
      </c>
      <c r="DV35" s="4">
        <v>3000</v>
      </c>
      <c r="DW35" s="4">
        <v>787230</v>
      </c>
      <c r="DX35" s="4">
        <v>790230</v>
      </c>
      <c r="DY35" s="4">
        <v>114546</v>
      </c>
      <c r="DZ35" s="4">
        <v>0</v>
      </c>
      <c r="EA35" s="4">
        <v>114546</v>
      </c>
      <c r="EB35" s="4">
        <v>1205</v>
      </c>
      <c r="EC35" s="4">
        <v>0</v>
      </c>
      <c r="ED35" s="4">
        <v>1205</v>
      </c>
      <c r="EE35" s="4">
        <v>1600</v>
      </c>
      <c r="EF35" s="4">
        <v>907581</v>
      </c>
      <c r="EG35" s="4">
        <v>528582</v>
      </c>
      <c r="EH35" s="4">
        <v>180045</v>
      </c>
      <c r="EI35" s="4">
        <v>708627</v>
      </c>
      <c r="EJ35" s="4">
        <v>56867</v>
      </c>
      <c r="EK35" s="4">
        <v>6500</v>
      </c>
      <c r="EL35" s="4">
        <v>8956</v>
      </c>
      <c r="EM35" s="4">
        <v>72323</v>
      </c>
      <c r="EN35" s="4">
        <v>129466</v>
      </c>
      <c r="EO35" s="4">
        <v>910416</v>
      </c>
      <c r="EP35" s="4">
        <v>-2835</v>
      </c>
      <c r="EQ35" s="3">
        <v>-3.0999999999999999E-3</v>
      </c>
      <c r="ER35" s="4">
        <v>0</v>
      </c>
      <c r="ES35" s="4">
        <v>0</v>
      </c>
      <c r="ET35" s="4">
        <v>0</v>
      </c>
      <c r="EU35" s="4">
        <v>0</v>
      </c>
      <c r="EV35" s="4">
        <v>0</v>
      </c>
      <c r="EW35" s="4">
        <v>0</v>
      </c>
      <c r="EX35" s="1">
        <v>10966</v>
      </c>
      <c r="EY35" s="1">
        <v>196180</v>
      </c>
      <c r="EZ35" s="1">
        <v>36321</v>
      </c>
      <c r="FA35" s="1">
        <v>3107</v>
      </c>
      <c r="FB35" s="1">
        <v>27790</v>
      </c>
      <c r="FC35" s="1">
        <v>23410</v>
      </c>
      <c r="FD35">
        <v>663</v>
      </c>
      <c r="FE35" s="1">
        <v>11402</v>
      </c>
      <c r="FF35" s="1">
        <v>59731</v>
      </c>
      <c r="FG35" s="1">
        <v>3770</v>
      </c>
      <c r="FH35" s="1">
        <v>39192</v>
      </c>
      <c r="FI35" s="1">
        <v>102693</v>
      </c>
      <c r="FJ35">
        <v>343</v>
      </c>
      <c r="FK35">
        <v>108</v>
      </c>
      <c r="FM35" s="1">
        <v>102693</v>
      </c>
      <c r="FN35" s="1">
        <v>1652</v>
      </c>
      <c r="FO35" s="1">
        <v>4033</v>
      </c>
      <c r="FP35">
        <v>644</v>
      </c>
      <c r="FQ35">
        <v>2</v>
      </c>
      <c r="FR35">
        <v>88</v>
      </c>
      <c r="FS35">
        <v>90</v>
      </c>
      <c r="FT35" s="1">
        <v>44141</v>
      </c>
      <c r="FU35" s="1">
        <v>3505</v>
      </c>
      <c r="FV35">
        <v>0</v>
      </c>
      <c r="FW35">
        <v>0</v>
      </c>
      <c r="FX35" s="1">
        <v>8544</v>
      </c>
      <c r="FY35" s="1">
        <v>1573</v>
      </c>
      <c r="FZ35">
        <v>322</v>
      </c>
      <c r="GA35">
        <v>0</v>
      </c>
      <c r="GB35" s="1">
        <v>26436</v>
      </c>
      <c r="GC35" s="1">
        <v>1747</v>
      </c>
      <c r="GD35">
        <v>278</v>
      </c>
      <c r="GE35">
        <v>42</v>
      </c>
      <c r="GJ35">
        <v>0</v>
      </c>
      <c r="GK35">
        <v>0</v>
      </c>
      <c r="GL35">
        <v>29</v>
      </c>
      <c r="GM35">
        <v>0</v>
      </c>
      <c r="GN35" s="1">
        <v>79121</v>
      </c>
      <c r="GO35" s="1">
        <v>6825</v>
      </c>
      <c r="GP35">
        <v>629</v>
      </c>
      <c r="GQ35">
        <v>42</v>
      </c>
      <c r="GR35">
        <v>22</v>
      </c>
      <c r="GT35" s="1">
        <v>31519</v>
      </c>
      <c r="GU35" s="1">
        <v>4458</v>
      </c>
      <c r="GV35" s="1">
        <v>43303</v>
      </c>
      <c r="GW35" s="1">
        <v>7595</v>
      </c>
      <c r="GX35">
        <v>787</v>
      </c>
      <c r="GY35" s="1">
        <v>9996</v>
      </c>
      <c r="GZ35" s="1">
        <v>39114</v>
      </c>
      <c r="HA35" s="1">
        <v>5245</v>
      </c>
      <c r="HB35" s="1">
        <v>53299</v>
      </c>
      <c r="HC35" s="1">
        <v>97658</v>
      </c>
      <c r="HD35" s="1">
        <v>1724</v>
      </c>
      <c r="HE35" s="1">
        <v>99834</v>
      </c>
      <c r="HF35" s="1">
        <v>2145</v>
      </c>
      <c r="HG35" s="1">
        <v>15114</v>
      </c>
      <c r="HH35">
        <v>452</v>
      </c>
      <c r="HI35" s="1">
        <v>23224</v>
      </c>
      <c r="HJ35" s="1">
        <v>40483</v>
      </c>
      <c r="HK35" s="1">
        <v>140317</v>
      </c>
      <c r="HL35">
        <v>31</v>
      </c>
      <c r="HM35" s="1">
        <v>8828</v>
      </c>
      <c r="HN35" s="1">
        <v>8859</v>
      </c>
      <c r="HO35">
        <v>149</v>
      </c>
      <c r="HP35" s="1">
        <v>1525</v>
      </c>
      <c r="HQ35" s="1">
        <v>1674</v>
      </c>
      <c r="HR35">
        <v>0</v>
      </c>
      <c r="HS35">
        <v>43</v>
      </c>
      <c r="HT35">
        <v>43</v>
      </c>
      <c r="HU35">
        <v>179</v>
      </c>
      <c r="HV35" s="1">
        <v>10755</v>
      </c>
      <c r="HW35" s="1">
        <v>1099</v>
      </c>
      <c r="HX35">
        <v>0</v>
      </c>
      <c r="HY35" s="1">
        <v>1099</v>
      </c>
      <c r="HZ35" s="1">
        <v>11854</v>
      </c>
      <c r="IA35" s="1">
        <v>3819</v>
      </c>
      <c r="IB35" s="1">
        <v>18976</v>
      </c>
      <c r="IC35" s="1">
        <v>151072</v>
      </c>
      <c r="ID35" s="1">
        <v>151072</v>
      </c>
      <c r="IE35" s="1">
        <v>152171</v>
      </c>
      <c r="IF35" s="1">
        <v>65291</v>
      </c>
      <c r="IG35">
        <v>-1</v>
      </c>
      <c r="IK35" s="3">
        <v>2.3800000000000002E-2</v>
      </c>
      <c r="IL35" s="3">
        <v>5.9999999999999995E-4</v>
      </c>
      <c r="IM35" s="3">
        <v>0.4415</v>
      </c>
      <c r="IN35" s="3">
        <v>0</v>
      </c>
      <c r="IO35" s="3">
        <v>0.40329999999999999</v>
      </c>
      <c r="IP35" s="3">
        <v>5.0000000000000001E-4</v>
      </c>
      <c r="IQ35" s="3">
        <v>0.52349999999999997</v>
      </c>
      <c r="IR35" s="3">
        <v>4.3200000000000002E-2</v>
      </c>
      <c r="IS35" s="3">
        <v>0.43219999999999997</v>
      </c>
      <c r="IT35" s="1">
        <v>20115</v>
      </c>
      <c r="IU35" s="1">
        <v>7128</v>
      </c>
      <c r="IV35" s="1">
        <v>27243</v>
      </c>
      <c r="IW35" s="3">
        <v>0.42430000000000001</v>
      </c>
      <c r="IX35" s="1">
        <v>227985</v>
      </c>
      <c r="IZ35">
        <v>8</v>
      </c>
      <c r="JA35">
        <v>0</v>
      </c>
      <c r="JB35">
        <v>209</v>
      </c>
      <c r="JC35">
        <v>0</v>
      </c>
      <c r="JD35">
        <v>0</v>
      </c>
      <c r="JE35">
        <v>6</v>
      </c>
      <c r="JF35">
        <v>8</v>
      </c>
      <c r="JG35">
        <v>0</v>
      </c>
      <c r="JH35">
        <v>215</v>
      </c>
      <c r="JI35">
        <v>223</v>
      </c>
      <c r="JJ35">
        <v>217</v>
      </c>
      <c r="JK35">
        <v>6</v>
      </c>
      <c r="JL35">
        <v>42</v>
      </c>
      <c r="JM35">
        <v>0</v>
      </c>
      <c r="JN35" s="1">
        <v>1691</v>
      </c>
      <c r="JO35">
        <v>0</v>
      </c>
      <c r="JP35">
        <v>0</v>
      </c>
      <c r="JQ35">
        <v>425</v>
      </c>
      <c r="JR35">
        <v>42</v>
      </c>
      <c r="JS35">
        <v>0</v>
      </c>
      <c r="JT35" s="1">
        <v>2116</v>
      </c>
      <c r="JU35" s="1">
        <v>2158</v>
      </c>
      <c r="JV35" s="1">
        <v>1733</v>
      </c>
      <c r="JW35">
        <v>425</v>
      </c>
      <c r="JX35">
        <v>9.68</v>
      </c>
      <c r="JY35">
        <v>5.25</v>
      </c>
      <c r="JZ35">
        <v>9.84</v>
      </c>
      <c r="KA35">
        <v>0.02</v>
      </c>
      <c r="KB35">
        <v>0.98</v>
      </c>
      <c r="KE35">
        <v>2</v>
      </c>
      <c r="KF35">
        <v>24</v>
      </c>
      <c r="KM35" s="1">
        <v>12064</v>
      </c>
      <c r="KN35" s="1">
        <v>5824</v>
      </c>
      <c r="KO35" s="1">
        <v>2340</v>
      </c>
      <c r="KQ35">
        <v>448</v>
      </c>
      <c r="KR35" s="1">
        <v>20163</v>
      </c>
      <c r="KS35" s="1">
        <v>6035</v>
      </c>
      <c r="KT35" s="1">
        <v>5790</v>
      </c>
      <c r="KU35">
        <v>19</v>
      </c>
      <c r="KV35">
        <v>35</v>
      </c>
      <c r="KW35" s="1">
        <v>22603</v>
      </c>
      <c r="KY35" s="1">
        <v>18520</v>
      </c>
      <c r="KZ35" s="1">
        <v>5170</v>
      </c>
      <c r="LC35" t="s">
        <v>1150</v>
      </c>
      <c r="LD35" t="s">
        <v>709</v>
      </c>
      <c r="LE35" t="s">
        <v>1148</v>
      </c>
      <c r="LF35" t="s">
        <v>1149</v>
      </c>
      <c r="LG35">
        <v>27549</v>
      </c>
      <c r="LH35">
        <v>2199</v>
      </c>
      <c r="LI35" t="s">
        <v>1148</v>
      </c>
      <c r="LJ35" t="s">
        <v>1149</v>
      </c>
      <c r="LK35">
        <v>27549</v>
      </c>
      <c r="LL35">
        <v>2199</v>
      </c>
      <c r="LM35" t="s">
        <v>1151</v>
      </c>
      <c r="LN35">
        <v>9194962111</v>
      </c>
      <c r="LO35">
        <v>9194961339</v>
      </c>
      <c r="LP35" s="1">
        <v>16496</v>
      </c>
      <c r="LQ35">
        <v>12.57</v>
      </c>
      <c r="LS35" s="1">
        <v>9430</v>
      </c>
      <c r="LT35">
        <v>250</v>
      </c>
      <c r="LW35">
        <v>2</v>
      </c>
      <c r="LX35" t="s">
        <v>1160</v>
      </c>
      <c r="LY35">
        <v>0</v>
      </c>
      <c r="LZ35" t="s">
        <v>691</v>
      </c>
      <c r="MA35">
        <v>10</v>
      </c>
      <c r="MB35">
        <v>100</v>
      </c>
    </row>
    <row r="36" spans="1:340" x14ac:dyDescent="0.25">
      <c r="A36" t="s">
        <v>1161</v>
      </c>
      <c r="B36">
        <v>0</v>
      </c>
      <c r="C36">
        <v>1375</v>
      </c>
      <c r="D36">
        <v>2017</v>
      </c>
      <c r="E36">
        <v>0</v>
      </c>
      <c r="F36" t="s">
        <v>1161</v>
      </c>
      <c r="G36" t="s">
        <v>1162</v>
      </c>
      <c r="H36" t="s">
        <v>668</v>
      </c>
      <c r="I36" t="s">
        <v>694</v>
      </c>
      <c r="J36" t="s">
        <v>670</v>
      </c>
      <c r="K36" t="s">
        <v>671</v>
      </c>
      <c r="L36" t="s">
        <v>695</v>
      </c>
      <c r="M36" t="s">
        <v>673</v>
      </c>
      <c r="N36" s="1">
        <v>211568</v>
      </c>
      <c r="O36" t="s">
        <v>674</v>
      </c>
      <c r="P36" s="1">
        <v>4540</v>
      </c>
      <c r="Q36" s="1">
        <v>1208</v>
      </c>
      <c r="R36">
        <v>795</v>
      </c>
      <c r="S36">
        <v>312</v>
      </c>
      <c r="T36" s="1">
        <v>33784</v>
      </c>
      <c r="U36" s="1">
        <v>1812</v>
      </c>
      <c r="V36" s="1">
        <v>115388</v>
      </c>
      <c r="W36" s="1">
        <v>13013</v>
      </c>
      <c r="X36" s="1">
        <v>1724000</v>
      </c>
      <c r="Y36" s="1">
        <v>314400</v>
      </c>
      <c r="Z36" t="s">
        <v>1163</v>
      </c>
      <c r="AA36" t="s">
        <v>1164</v>
      </c>
      <c r="AB36">
        <v>28054</v>
      </c>
      <c r="AC36">
        <v>5156</v>
      </c>
      <c r="AD36" t="s">
        <v>1163</v>
      </c>
      <c r="AE36" t="s">
        <v>1165</v>
      </c>
      <c r="AF36">
        <v>28054</v>
      </c>
      <c r="AG36">
        <v>2</v>
      </c>
      <c r="AH36" t="s">
        <v>1166</v>
      </c>
      <c r="AJ36" t="s">
        <v>35</v>
      </c>
      <c r="AK36" t="s">
        <v>1167</v>
      </c>
      <c r="AL36" t="s">
        <v>1168</v>
      </c>
      <c r="AM36" t="s">
        <v>1169</v>
      </c>
      <c r="AN36" t="s">
        <v>1170</v>
      </c>
      <c r="AO36" t="s">
        <v>1171</v>
      </c>
      <c r="AP36" t="s">
        <v>1168</v>
      </c>
      <c r="AQ36" t="s">
        <v>706</v>
      </c>
      <c r="AR36" t="s">
        <v>1169</v>
      </c>
      <c r="AS36" t="s">
        <v>1170</v>
      </c>
      <c r="AT36" t="s">
        <v>1171</v>
      </c>
      <c r="AU36" t="s">
        <v>1172</v>
      </c>
      <c r="BC36">
        <v>1</v>
      </c>
      <c r="BD36">
        <v>9</v>
      </c>
      <c r="BE36">
        <v>0</v>
      </c>
      <c r="BF36">
        <v>0</v>
      </c>
      <c r="BG36">
        <v>10</v>
      </c>
      <c r="BI36" s="1">
        <v>14222</v>
      </c>
      <c r="BJ36">
        <v>13.5</v>
      </c>
      <c r="BK36">
        <v>8.5</v>
      </c>
      <c r="BL36">
        <v>22</v>
      </c>
      <c r="BM36">
        <v>34</v>
      </c>
      <c r="BN36">
        <v>56</v>
      </c>
      <c r="BO36" s="3">
        <v>0.24110000000000001</v>
      </c>
      <c r="BP36" s="1">
        <v>2817</v>
      </c>
      <c r="BQ36" s="4">
        <v>103010</v>
      </c>
      <c r="BT36" s="1">
        <v>65564</v>
      </c>
      <c r="BU36" s="4">
        <v>35995</v>
      </c>
      <c r="BV36" s="4">
        <v>45895</v>
      </c>
      <c r="BW36" s="4">
        <v>40776</v>
      </c>
      <c r="BY36" s="4">
        <v>45180</v>
      </c>
      <c r="BZ36" s="4">
        <v>45180</v>
      </c>
      <c r="CA36" s="4">
        <v>45180</v>
      </c>
      <c r="CC36" s="4">
        <v>62165</v>
      </c>
      <c r="CD36" s="4">
        <v>62165</v>
      </c>
      <c r="CE36" s="1">
        <v>62165</v>
      </c>
      <c r="CG36" s="4">
        <v>64211</v>
      </c>
      <c r="CH36" s="4">
        <v>64211</v>
      </c>
      <c r="CI36" s="4">
        <v>64211</v>
      </c>
      <c r="CK36" s="4">
        <v>48975</v>
      </c>
      <c r="CL36" s="4">
        <v>48975</v>
      </c>
      <c r="CM36" s="1">
        <v>48975</v>
      </c>
      <c r="CO36" s="4">
        <v>57165</v>
      </c>
      <c r="CP36" s="4">
        <v>64386</v>
      </c>
      <c r="CQ36" s="4">
        <v>60776</v>
      </c>
      <c r="CR36" s="4">
        <v>38410</v>
      </c>
      <c r="CS36" s="4">
        <v>43549</v>
      </c>
      <c r="CT36" s="4">
        <v>40980</v>
      </c>
      <c r="CV36" s="4">
        <v>39142</v>
      </c>
      <c r="CW36" s="4">
        <v>56133</v>
      </c>
      <c r="CX36" s="4">
        <v>47888</v>
      </c>
      <c r="CZ36" s="4">
        <v>47140</v>
      </c>
      <c r="DA36" s="4">
        <v>47140</v>
      </c>
      <c r="DB36" s="4">
        <v>47140</v>
      </c>
      <c r="DO36" s="4">
        <v>25185</v>
      </c>
      <c r="DP36" s="4">
        <v>29497</v>
      </c>
      <c r="DQ36" s="4">
        <v>26752</v>
      </c>
      <c r="DV36" s="4">
        <v>0</v>
      </c>
      <c r="DW36" s="4">
        <v>3834335</v>
      </c>
      <c r="DX36" s="4">
        <v>3834335</v>
      </c>
      <c r="DY36" s="4">
        <v>225865</v>
      </c>
      <c r="DZ36" s="4">
        <v>0</v>
      </c>
      <c r="EA36" s="4">
        <v>225865</v>
      </c>
      <c r="EB36" s="4">
        <v>4414</v>
      </c>
      <c r="EC36" s="4">
        <v>0</v>
      </c>
      <c r="ED36" s="4">
        <v>4414</v>
      </c>
      <c r="EE36" s="4">
        <v>0</v>
      </c>
      <c r="EF36" s="4">
        <v>4064614</v>
      </c>
      <c r="EG36" s="4">
        <v>2061968</v>
      </c>
      <c r="EH36" s="4">
        <v>812560</v>
      </c>
      <c r="EI36" s="4">
        <v>2874528</v>
      </c>
      <c r="EJ36" s="4">
        <v>290000</v>
      </c>
      <c r="EK36" s="4">
        <v>71363</v>
      </c>
      <c r="EL36" s="4">
        <v>71490</v>
      </c>
      <c r="EM36" s="4">
        <v>432853</v>
      </c>
      <c r="EN36" s="4">
        <v>506780</v>
      </c>
      <c r="EO36" s="4">
        <v>3814161</v>
      </c>
      <c r="EP36" s="4">
        <v>250453</v>
      </c>
      <c r="EQ36" s="3">
        <v>6.1600000000000002E-2</v>
      </c>
      <c r="ER36" s="4">
        <v>0</v>
      </c>
      <c r="ES36" s="4">
        <v>0</v>
      </c>
      <c r="ET36" s="4">
        <v>0</v>
      </c>
      <c r="EU36" s="4">
        <v>25000</v>
      </c>
      <c r="EV36" s="4">
        <v>25000</v>
      </c>
      <c r="EW36" s="4">
        <v>25000</v>
      </c>
      <c r="EX36" s="1">
        <v>64310</v>
      </c>
      <c r="EY36" s="1">
        <v>577922</v>
      </c>
      <c r="EZ36" s="1">
        <v>104759</v>
      </c>
      <c r="FA36" s="1">
        <v>20972</v>
      </c>
      <c r="FB36" s="1">
        <v>92418</v>
      </c>
      <c r="FC36" s="1">
        <v>149597</v>
      </c>
      <c r="FD36">
        <v>0</v>
      </c>
      <c r="FE36" s="1">
        <v>50601</v>
      </c>
      <c r="FF36" s="1">
        <v>254356</v>
      </c>
      <c r="FG36" s="1">
        <v>20972</v>
      </c>
      <c r="FH36" s="1">
        <v>143019</v>
      </c>
      <c r="FI36" s="1">
        <v>418347</v>
      </c>
      <c r="FJ36" s="1">
        <v>2364</v>
      </c>
      <c r="FK36">
        <v>303</v>
      </c>
      <c r="FM36" s="1">
        <v>418347</v>
      </c>
      <c r="FN36" s="1">
        <v>13716</v>
      </c>
      <c r="FO36" s="1">
        <v>26292</v>
      </c>
      <c r="FP36">
        <v>0</v>
      </c>
      <c r="FQ36">
        <v>10</v>
      </c>
      <c r="FR36">
        <v>88</v>
      </c>
      <c r="FS36">
        <v>98</v>
      </c>
      <c r="FT36" s="1">
        <v>44141</v>
      </c>
      <c r="FU36" s="1">
        <v>3505</v>
      </c>
      <c r="FV36">
        <v>0</v>
      </c>
      <c r="FW36">
        <v>0</v>
      </c>
      <c r="FX36" s="1">
        <v>8544</v>
      </c>
      <c r="FY36" s="1">
        <v>1573</v>
      </c>
      <c r="FZ36">
        <v>322</v>
      </c>
      <c r="GA36">
        <v>0</v>
      </c>
      <c r="GF36" s="1">
        <v>36593</v>
      </c>
      <c r="GG36" s="1">
        <v>13194</v>
      </c>
      <c r="GH36">
        <v>264</v>
      </c>
      <c r="GI36">
        <v>12</v>
      </c>
      <c r="GJ36" s="1">
        <v>1169</v>
      </c>
      <c r="GK36" s="1">
        <v>7323</v>
      </c>
      <c r="GL36">
        <v>16</v>
      </c>
      <c r="GM36">
        <v>146</v>
      </c>
      <c r="GN36" s="1">
        <v>90447</v>
      </c>
      <c r="GO36" s="1">
        <v>25595</v>
      </c>
      <c r="GP36">
        <v>602</v>
      </c>
      <c r="GQ36">
        <v>158</v>
      </c>
      <c r="GR36">
        <v>260</v>
      </c>
      <c r="GT36" s="1">
        <v>241488</v>
      </c>
      <c r="GU36" s="1">
        <v>39212</v>
      </c>
      <c r="GV36" s="1">
        <v>285267</v>
      </c>
      <c r="GW36" s="1">
        <v>87774</v>
      </c>
      <c r="GX36">
        <v>0</v>
      </c>
      <c r="GY36" s="1">
        <v>63625</v>
      </c>
      <c r="GZ36" s="1">
        <v>329262</v>
      </c>
      <c r="HA36" s="1">
        <v>39212</v>
      </c>
      <c r="HB36" s="1">
        <v>348892</v>
      </c>
      <c r="HC36" s="1">
        <v>717366</v>
      </c>
      <c r="HD36">
        <v>0</v>
      </c>
      <c r="HE36" s="1">
        <v>717366</v>
      </c>
      <c r="HF36" s="1">
        <v>29826</v>
      </c>
      <c r="HG36" s="1">
        <v>189094</v>
      </c>
      <c r="HH36">
        <v>0</v>
      </c>
      <c r="HI36" s="1">
        <v>2977</v>
      </c>
      <c r="HJ36" s="1">
        <v>221897</v>
      </c>
      <c r="HK36" s="1">
        <v>939263</v>
      </c>
      <c r="HL36">
        <v>146</v>
      </c>
      <c r="HM36" s="1">
        <v>52116</v>
      </c>
      <c r="HN36" s="1">
        <v>52262</v>
      </c>
      <c r="HO36">
        <v>400</v>
      </c>
      <c r="HP36" s="1">
        <v>28712</v>
      </c>
      <c r="HQ36" s="1">
        <v>29112</v>
      </c>
      <c r="HR36">
        <v>0</v>
      </c>
      <c r="HS36">
        <v>345</v>
      </c>
      <c r="HT36">
        <v>345</v>
      </c>
      <c r="HU36" s="1">
        <v>4023</v>
      </c>
      <c r="HV36" s="1">
        <v>85742</v>
      </c>
      <c r="HW36" s="1">
        <v>43205</v>
      </c>
      <c r="HX36" s="1">
        <v>77409</v>
      </c>
      <c r="HY36" s="1">
        <v>120614</v>
      </c>
      <c r="HZ36" s="1">
        <v>206356</v>
      </c>
      <c r="IA36" s="1">
        <v>58938</v>
      </c>
      <c r="IB36" s="1">
        <v>248377</v>
      </c>
      <c r="IC36" s="1">
        <v>1025005</v>
      </c>
      <c r="ID36" s="1">
        <v>1025005</v>
      </c>
      <c r="IE36" s="1">
        <v>1145619</v>
      </c>
      <c r="IF36" s="1">
        <v>434972</v>
      </c>
      <c r="IG36" s="1">
        <v>10821</v>
      </c>
      <c r="IJ36">
        <v>1</v>
      </c>
      <c r="IK36" s="3">
        <v>4.65E-2</v>
      </c>
      <c r="IL36" s="3">
        <v>5.0000000000000001E-4</v>
      </c>
      <c r="IM36" s="3">
        <v>0.2021</v>
      </c>
      <c r="IN36" s="3">
        <v>0</v>
      </c>
      <c r="IO36" s="3">
        <v>0.1565</v>
      </c>
      <c r="IP36" s="3">
        <v>2.0000000000000001E-4</v>
      </c>
      <c r="IQ36" s="3">
        <v>0.72389999999999999</v>
      </c>
      <c r="IR36" s="3">
        <v>6.8000000000000005E-2</v>
      </c>
      <c r="IS36" s="3">
        <v>0.4244</v>
      </c>
      <c r="IT36" s="1">
        <v>67446</v>
      </c>
      <c r="IU36" s="1">
        <v>52814</v>
      </c>
      <c r="IV36" s="1">
        <v>120260</v>
      </c>
      <c r="IW36" s="3">
        <v>0.56840000000000002</v>
      </c>
      <c r="IX36" s="1">
        <v>575420</v>
      </c>
      <c r="IZ36" s="1">
        <v>1733</v>
      </c>
      <c r="JA36">
        <v>982</v>
      </c>
      <c r="JB36" s="1">
        <v>3414</v>
      </c>
      <c r="JC36">
        <v>158</v>
      </c>
      <c r="JD36">
        <v>18</v>
      </c>
      <c r="JE36">
        <v>378</v>
      </c>
      <c r="JF36" s="1">
        <v>1891</v>
      </c>
      <c r="JG36" s="1">
        <v>1000</v>
      </c>
      <c r="JH36" s="1">
        <v>3792</v>
      </c>
      <c r="JI36" s="1">
        <v>6683</v>
      </c>
      <c r="JJ36" s="1">
        <v>6129</v>
      </c>
      <c r="JK36">
        <v>554</v>
      </c>
      <c r="JL36" s="1">
        <v>16844</v>
      </c>
      <c r="JM36" s="1">
        <v>6198</v>
      </c>
      <c r="JN36" s="1">
        <v>76331</v>
      </c>
      <c r="JO36" s="1">
        <v>2055</v>
      </c>
      <c r="JP36" s="1">
        <v>1606</v>
      </c>
      <c r="JQ36" s="1">
        <v>28437</v>
      </c>
      <c r="JR36" s="1">
        <v>18899</v>
      </c>
      <c r="JS36" s="1">
        <v>7804</v>
      </c>
      <c r="JT36" s="1">
        <v>104768</v>
      </c>
      <c r="JU36" s="1">
        <v>131471</v>
      </c>
      <c r="JV36" s="1">
        <v>99373</v>
      </c>
      <c r="JW36" s="1">
        <v>32098</v>
      </c>
      <c r="JX36">
        <v>19.670000000000002</v>
      </c>
      <c r="JY36">
        <v>9.99</v>
      </c>
      <c r="JZ36">
        <v>27.63</v>
      </c>
      <c r="KA36">
        <v>0.14000000000000001</v>
      </c>
      <c r="KB36">
        <v>0.8</v>
      </c>
      <c r="KC36">
        <v>88</v>
      </c>
      <c r="KD36">
        <v>186</v>
      </c>
      <c r="KE36">
        <v>515</v>
      </c>
      <c r="KF36" s="1">
        <v>1171</v>
      </c>
      <c r="KM36" s="1">
        <v>160368</v>
      </c>
      <c r="KN36" s="1">
        <v>49868</v>
      </c>
      <c r="KO36" s="1">
        <v>5304</v>
      </c>
      <c r="KQ36">
        <v>326</v>
      </c>
      <c r="KR36" s="1">
        <v>18303</v>
      </c>
      <c r="KS36">
        <v>259</v>
      </c>
      <c r="KT36" s="1">
        <v>1318</v>
      </c>
      <c r="KU36">
        <v>64</v>
      </c>
      <c r="KV36">
        <v>84</v>
      </c>
      <c r="KW36" s="1">
        <v>107358</v>
      </c>
      <c r="KY36" s="1">
        <v>195531</v>
      </c>
      <c r="KZ36" s="1">
        <v>61194</v>
      </c>
      <c r="LC36" t="s">
        <v>1173</v>
      </c>
      <c r="LD36" t="s">
        <v>709</v>
      </c>
      <c r="LE36" t="s">
        <v>1174</v>
      </c>
      <c r="LF36" t="s">
        <v>1164</v>
      </c>
      <c r="LG36">
        <v>28054</v>
      </c>
      <c r="LH36">
        <v>5156</v>
      </c>
      <c r="LI36" t="s">
        <v>1175</v>
      </c>
      <c r="LJ36" t="s">
        <v>1165</v>
      </c>
      <c r="LK36">
        <v>28054</v>
      </c>
      <c r="LL36">
        <v>5156</v>
      </c>
      <c r="LM36" t="s">
        <v>1176</v>
      </c>
      <c r="LN36">
        <v>7048682164</v>
      </c>
      <c r="LO36">
        <v>7048530609</v>
      </c>
      <c r="LP36" s="1">
        <v>92233</v>
      </c>
      <c r="LQ36">
        <v>56</v>
      </c>
      <c r="LS36" s="1">
        <v>14222</v>
      </c>
      <c r="LT36">
        <v>520</v>
      </c>
      <c r="LW36">
        <v>1</v>
      </c>
      <c r="LX36" t="s">
        <v>1177</v>
      </c>
      <c r="LY36">
        <v>0</v>
      </c>
      <c r="LZ36" t="s">
        <v>691</v>
      </c>
      <c r="MA36">
        <v>13.87</v>
      </c>
      <c r="MB36">
        <v>18.87</v>
      </c>
    </row>
    <row r="37" spans="1:340" x14ac:dyDescent="0.25">
      <c r="A37" t="s">
        <v>1178</v>
      </c>
      <c r="B37">
        <v>0</v>
      </c>
      <c r="C37">
        <v>1375</v>
      </c>
      <c r="D37">
        <v>2017</v>
      </c>
      <c r="E37">
        <v>0</v>
      </c>
      <c r="F37" t="s">
        <v>1178</v>
      </c>
      <c r="G37" t="s">
        <v>1179</v>
      </c>
      <c r="H37" t="s">
        <v>668</v>
      </c>
      <c r="I37" t="s">
        <v>899</v>
      </c>
      <c r="J37" t="s">
        <v>870</v>
      </c>
      <c r="K37" t="s">
        <v>671</v>
      </c>
      <c r="L37" t="s">
        <v>900</v>
      </c>
      <c r="M37" t="s">
        <v>673</v>
      </c>
      <c r="N37" s="1">
        <v>9639</v>
      </c>
      <c r="O37" t="s">
        <v>674</v>
      </c>
      <c r="P37">
        <v>271</v>
      </c>
      <c r="Q37">
        <v>36</v>
      </c>
      <c r="R37">
        <v>24</v>
      </c>
      <c r="S37">
        <v>8</v>
      </c>
      <c r="T37" s="1">
        <v>1110</v>
      </c>
      <c r="U37">
        <v>227</v>
      </c>
      <c r="V37" s="1">
        <v>9685</v>
      </c>
      <c r="W37" s="1">
        <v>1754</v>
      </c>
      <c r="Z37" t="s">
        <v>1180</v>
      </c>
      <c r="AA37" t="s">
        <v>764</v>
      </c>
      <c r="AB37">
        <v>27889</v>
      </c>
      <c r="AC37">
        <v>4847</v>
      </c>
      <c r="AD37" t="s">
        <v>1180</v>
      </c>
      <c r="AE37" t="s">
        <v>764</v>
      </c>
      <c r="AF37">
        <v>27889</v>
      </c>
      <c r="AG37">
        <v>1</v>
      </c>
      <c r="AH37" t="s">
        <v>1181</v>
      </c>
      <c r="AJ37" t="s">
        <v>904</v>
      </c>
      <c r="AK37" t="s">
        <v>766</v>
      </c>
      <c r="AL37" t="s">
        <v>1182</v>
      </c>
      <c r="AM37" t="s">
        <v>1183</v>
      </c>
      <c r="AO37" t="s">
        <v>1184</v>
      </c>
      <c r="AP37" t="s">
        <v>1182</v>
      </c>
      <c r="AQ37" t="s">
        <v>36</v>
      </c>
      <c r="AR37" t="s">
        <v>1183</v>
      </c>
      <c r="AT37" t="s">
        <v>1184</v>
      </c>
      <c r="AU37" t="s">
        <v>1185</v>
      </c>
      <c r="BC37">
        <v>1</v>
      </c>
      <c r="BD37">
        <v>0</v>
      </c>
      <c r="BE37">
        <v>0</v>
      </c>
      <c r="BF37">
        <v>0</v>
      </c>
      <c r="BG37">
        <v>1</v>
      </c>
      <c r="BI37" s="1">
        <v>2860</v>
      </c>
      <c r="BJ37">
        <v>1</v>
      </c>
      <c r="BK37">
        <v>0</v>
      </c>
      <c r="BL37">
        <v>1</v>
      </c>
      <c r="BM37">
        <v>6</v>
      </c>
      <c r="BN37">
        <v>7</v>
      </c>
      <c r="BO37" s="3">
        <v>0.1429</v>
      </c>
      <c r="BP37">
        <v>798</v>
      </c>
      <c r="BQ37" s="4">
        <v>58822</v>
      </c>
      <c r="BY37" s="4">
        <v>29147</v>
      </c>
      <c r="BZ37" s="4">
        <v>43137</v>
      </c>
      <c r="CA37" s="4">
        <v>30604</v>
      </c>
      <c r="CG37" s="4">
        <v>29147</v>
      </c>
      <c r="CH37" s="4">
        <v>43137</v>
      </c>
      <c r="CI37" s="4">
        <v>30604</v>
      </c>
      <c r="DM37" s="4">
        <v>23979</v>
      </c>
      <c r="DO37" s="4">
        <v>22837</v>
      </c>
      <c r="DP37" s="4">
        <v>33799</v>
      </c>
      <c r="DV37" s="4">
        <v>419739</v>
      </c>
      <c r="DW37" s="4">
        <v>7800</v>
      </c>
      <c r="DX37" s="4">
        <v>427539</v>
      </c>
      <c r="DY37" s="4">
        <v>9475</v>
      </c>
      <c r="DZ37" s="4">
        <v>0</v>
      </c>
      <c r="EA37" s="4">
        <v>9475</v>
      </c>
      <c r="EB37" s="4">
        <v>4555</v>
      </c>
      <c r="EC37" s="4">
        <v>0</v>
      </c>
      <c r="ED37" s="4">
        <v>4555</v>
      </c>
      <c r="EE37" s="4">
        <v>20569</v>
      </c>
      <c r="EF37" s="4">
        <v>462138</v>
      </c>
      <c r="EG37" s="4">
        <v>207228</v>
      </c>
      <c r="EH37" s="4">
        <v>70363</v>
      </c>
      <c r="EI37" s="4">
        <v>277591</v>
      </c>
      <c r="EJ37" s="4">
        <v>44129</v>
      </c>
      <c r="EK37" s="4">
        <v>9250</v>
      </c>
      <c r="EL37" s="4">
        <v>7684</v>
      </c>
      <c r="EM37" s="4">
        <v>61063</v>
      </c>
      <c r="EN37" s="4">
        <v>87972</v>
      </c>
      <c r="EO37" s="4">
        <v>426626</v>
      </c>
      <c r="EP37" s="4">
        <v>35512</v>
      </c>
      <c r="EQ37" s="3">
        <v>7.6799999999999993E-2</v>
      </c>
      <c r="ER37" s="4">
        <v>0</v>
      </c>
      <c r="ES37" s="4">
        <v>0</v>
      </c>
      <c r="ET37" s="4">
        <v>0</v>
      </c>
      <c r="EU37" s="4">
        <v>0</v>
      </c>
      <c r="EV37" s="4">
        <v>0</v>
      </c>
      <c r="EW37" s="4">
        <v>0</v>
      </c>
      <c r="EX37" s="1">
        <v>12336</v>
      </c>
      <c r="EY37" s="1">
        <v>151666</v>
      </c>
      <c r="EZ37" s="1">
        <v>17851</v>
      </c>
      <c r="FA37" s="1">
        <v>2523</v>
      </c>
      <c r="FB37" s="1">
        <v>10395</v>
      </c>
      <c r="FC37" s="1">
        <v>17089</v>
      </c>
      <c r="FD37">
        <v>268</v>
      </c>
      <c r="FE37" s="1">
        <v>5141</v>
      </c>
      <c r="FF37" s="1">
        <v>34940</v>
      </c>
      <c r="FG37" s="1">
        <v>2791</v>
      </c>
      <c r="FH37" s="1">
        <v>15536</v>
      </c>
      <c r="FI37" s="1">
        <v>53267</v>
      </c>
      <c r="FJ37" s="1">
        <v>3973</v>
      </c>
      <c r="FK37">
        <v>12</v>
      </c>
      <c r="FM37" s="1">
        <v>53267</v>
      </c>
      <c r="FN37" s="1">
        <v>3171</v>
      </c>
      <c r="FO37" s="1">
        <v>3902</v>
      </c>
      <c r="FP37">
        <v>613</v>
      </c>
      <c r="FQ37">
        <v>1</v>
      </c>
      <c r="FR37">
        <v>88</v>
      </c>
      <c r="FS37">
        <v>89</v>
      </c>
      <c r="FT37" s="1">
        <v>44141</v>
      </c>
      <c r="FU37" s="1">
        <v>3505</v>
      </c>
      <c r="FV37">
        <v>0</v>
      </c>
      <c r="FW37">
        <v>0</v>
      </c>
      <c r="FX37" s="1">
        <v>8544</v>
      </c>
      <c r="FY37" s="1">
        <v>1573</v>
      </c>
      <c r="FZ37">
        <v>322</v>
      </c>
      <c r="GA37">
        <v>0</v>
      </c>
      <c r="GB37" s="1">
        <v>26436</v>
      </c>
      <c r="GC37" s="1">
        <v>1747</v>
      </c>
      <c r="GD37">
        <v>278</v>
      </c>
      <c r="GE37">
        <v>0</v>
      </c>
      <c r="GJ37">
        <v>82</v>
      </c>
      <c r="GK37">
        <v>11</v>
      </c>
      <c r="GL37">
        <v>0</v>
      </c>
      <c r="GM37">
        <v>0</v>
      </c>
      <c r="GN37" s="1">
        <v>79203</v>
      </c>
      <c r="GO37" s="1">
        <v>6836</v>
      </c>
      <c r="GP37">
        <v>600</v>
      </c>
      <c r="GQ37">
        <v>0</v>
      </c>
      <c r="GR37">
        <v>44</v>
      </c>
      <c r="GT37" s="1">
        <v>30390</v>
      </c>
      <c r="GU37" s="1">
        <v>4592</v>
      </c>
      <c r="GV37" s="1">
        <v>15227</v>
      </c>
      <c r="GW37" s="1">
        <v>7523</v>
      </c>
      <c r="GX37">
        <v>254</v>
      </c>
      <c r="GY37" s="1">
        <v>4003</v>
      </c>
      <c r="GZ37" s="1">
        <v>37913</v>
      </c>
      <c r="HA37" s="1">
        <v>4846</v>
      </c>
      <c r="HB37" s="1">
        <v>19230</v>
      </c>
      <c r="HC37" s="1">
        <v>61989</v>
      </c>
      <c r="HD37">
        <v>364</v>
      </c>
      <c r="HE37" s="1">
        <v>63661</v>
      </c>
      <c r="HF37" s="1">
        <v>6829</v>
      </c>
      <c r="HG37" s="1">
        <v>24291</v>
      </c>
      <c r="HH37" s="1">
        <v>1308</v>
      </c>
      <c r="HI37">
        <v>611</v>
      </c>
      <c r="HJ37" s="1">
        <v>31731</v>
      </c>
      <c r="HK37" s="1">
        <v>95392</v>
      </c>
      <c r="HL37">
        <v>6</v>
      </c>
      <c r="HM37" s="1">
        <v>7089</v>
      </c>
      <c r="HN37" s="1">
        <v>7095</v>
      </c>
      <c r="HO37">
        <v>5</v>
      </c>
      <c r="HP37">
        <v>822</v>
      </c>
      <c r="HQ37">
        <v>827</v>
      </c>
      <c r="HR37">
        <v>0</v>
      </c>
      <c r="HS37">
        <v>14</v>
      </c>
      <c r="HT37">
        <v>14</v>
      </c>
      <c r="HU37">
        <v>181</v>
      </c>
      <c r="HV37" s="1">
        <v>8117</v>
      </c>
      <c r="HW37">
        <v>315</v>
      </c>
      <c r="HX37">
        <v>253</v>
      </c>
      <c r="HY37">
        <v>568</v>
      </c>
      <c r="HZ37" s="1">
        <v>8685</v>
      </c>
      <c r="IA37" s="1">
        <v>7656</v>
      </c>
      <c r="IB37" s="1">
        <v>31961</v>
      </c>
      <c r="IC37" s="1">
        <v>103509</v>
      </c>
      <c r="ID37" s="1">
        <v>103509</v>
      </c>
      <c r="IE37" s="1">
        <v>104077</v>
      </c>
      <c r="IF37" s="1">
        <v>28492</v>
      </c>
      <c r="IG37" s="1">
        <v>1239</v>
      </c>
      <c r="IJ37">
        <v>1</v>
      </c>
      <c r="IK37" s="3">
        <v>2.9700000000000001E-2</v>
      </c>
      <c r="IL37" s="3">
        <v>1E-4</v>
      </c>
      <c r="IM37" s="3">
        <v>0.57120000000000004</v>
      </c>
      <c r="IN37" s="3">
        <v>0</v>
      </c>
      <c r="IO37" s="3">
        <v>0.5222</v>
      </c>
      <c r="IP37" s="3">
        <v>5.9999999999999995E-4</v>
      </c>
      <c r="IQ37" s="3">
        <v>0.35120000000000001</v>
      </c>
      <c r="IR37" s="3">
        <v>6.6000000000000003E-2</v>
      </c>
      <c r="IS37" s="3">
        <v>0.27529999999999999</v>
      </c>
      <c r="IT37" s="1">
        <v>12176</v>
      </c>
      <c r="IU37" s="1">
        <v>3243</v>
      </c>
      <c r="IV37" s="1">
        <v>15419</v>
      </c>
      <c r="IW37" s="3">
        <v>1.5995999999999999</v>
      </c>
      <c r="IX37" s="1">
        <v>95564</v>
      </c>
      <c r="IZ37">
        <v>145</v>
      </c>
      <c r="JA37">
        <v>22</v>
      </c>
      <c r="JB37">
        <v>80</v>
      </c>
      <c r="JC37">
        <v>4</v>
      </c>
      <c r="JD37">
        <v>0</v>
      </c>
      <c r="JE37">
        <v>20</v>
      </c>
      <c r="JF37">
        <v>149</v>
      </c>
      <c r="JG37">
        <v>22</v>
      </c>
      <c r="JH37">
        <v>100</v>
      </c>
      <c r="JI37">
        <v>271</v>
      </c>
      <c r="JJ37">
        <v>247</v>
      </c>
      <c r="JK37">
        <v>24</v>
      </c>
      <c r="JL37">
        <v>236</v>
      </c>
      <c r="JM37">
        <v>569</v>
      </c>
      <c r="JN37" s="1">
        <v>1376</v>
      </c>
      <c r="JO37">
        <v>533</v>
      </c>
      <c r="JP37">
        <v>0</v>
      </c>
      <c r="JQ37" s="1">
        <v>1485</v>
      </c>
      <c r="JR37">
        <v>769</v>
      </c>
      <c r="JS37">
        <v>569</v>
      </c>
      <c r="JT37" s="1">
        <v>2861</v>
      </c>
      <c r="JU37" s="1">
        <v>4199</v>
      </c>
      <c r="JV37" s="1">
        <v>2181</v>
      </c>
      <c r="JW37" s="1">
        <v>2018</v>
      </c>
      <c r="JX37">
        <v>15.49</v>
      </c>
      <c r="JY37">
        <v>5.16</v>
      </c>
      <c r="JZ37">
        <v>28.61</v>
      </c>
      <c r="KA37">
        <v>0.18</v>
      </c>
      <c r="KB37">
        <v>0.68</v>
      </c>
      <c r="KC37">
        <v>24</v>
      </c>
      <c r="KD37">
        <v>27</v>
      </c>
      <c r="KE37">
        <v>52</v>
      </c>
      <c r="KF37">
        <v>23</v>
      </c>
      <c r="KG37">
        <v>82</v>
      </c>
      <c r="KH37" s="1">
        <v>1666</v>
      </c>
      <c r="KI37">
        <v>0</v>
      </c>
      <c r="KJ37">
        <v>0</v>
      </c>
      <c r="KK37">
        <v>21</v>
      </c>
      <c r="KL37">
        <v>931</v>
      </c>
      <c r="KM37" s="1">
        <v>18468</v>
      </c>
      <c r="KN37" s="1">
        <v>6656</v>
      </c>
      <c r="KO37" s="1">
        <v>1612</v>
      </c>
      <c r="KQ37">
        <v>452</v>
      </c>
      <c r="KR37" s="1">
        <v>2056</v>
      </c>
      <c r="KS37" s="1">
        <v>4778</v>
      </c>
      <c r="KT37" s="1">
        <v>2493</v>
      </c>
      <c r="KU37">
        <v>8</v>
      </c>
      <c r="KV37">
        <v>27</v>
      </c>
      <c r="KW37" s="1">
        <v>7667</v>
      </c>
      <c r="KZ37" s="1">
        <v>9968</v>
      </c>
      <c r="LC37" t="s">
        <v>1181</v>
      </c>
      <c r="LD37" t="s">
        <v>689</v>
      </c>
      <c r="LE37" t="s">
        <v>1180</v>
      </c>
      <c r="LF37" t="s">
        <v>764</v>
      </c>
      <c r="LG37">
        <v>27889</v>
      </c>
      <c r="LH37">
        <v>4847</v>
      </c>
      <c r="LI37" t="s">
        <v>1180</v>
      </c>
      <c r="LJ37" t="s">
        <v>764</v>
      </c>
      <c r="LK37">
        <v>27889</v>
      </c>
      <c r="LL37">
        <v>4847</v>
      </c>
      <c r="LM37" t="s">
        <v>766</v>
      </c>
      <c r="LN37">
        <v>2529464300</v>
      </c>
      <c r="LP37" s="1">
        <v>12000</v>
      </c>
      <c r="LQ37">
        <v>7</v>
      </c>
      <c r="LS37" s="1">
        <v>2860</v>
      </c>
      <c r="LT37">
        <v>52</v>
      </c>
      <c r="LW37">
        <v>2</v>
      </c>
      <c r="LX37" t="s">
        <v>1186</v>
      </c>
      <c r="LY37">
        <v>0</v>
      </c>
      <c r="LZ37" t="s">
        <v>691</v>
      </c>
      <c r="MA37">
        <v>10</v>
      </c>
      <c r="MB37">
        <v>100</v>
      </c>
    </row>
    <row r="38" spans="1:340" x14ac:dyDescent="0.25">
      <c r="A38" t="s">
        <v>1187</v>
      </c>
      <c r="B38">
        <v>0</v>
      </c>
      <c r="C38">
        <v>1375</v>
      </c>
      <c r="D38">
        <v>2017</v>
      </c>
      <c r="E38">
        <v>0</v>
      </c>
      <c r="F38" t="s">
        <v>1187</v>
      </c>
      <c r="G38" t="s">
        <v>1188</v>
      </c>
      <c r="H38" t="s">
        <v>668</v>
      </c>
      <c r="I38" t="s">
        <v>669</v>
      </c>
      <c r="J38" t="s">
        <v>670</v>
      </c>
      <c r="K38" t="s">
        <v>671</v>
      </c>
      <c r="L38" t="s">
        <v>672</v>
      </c>
      <c r="M38" t="s">
        <v>673</v>
      </c>
      <c r="N38" s="1">
        <v>58547</v>
      </c>
      <c r="O38" t="s">
        <v>674</v>
      </c>
      <c r="P38">
        <v>335</v>
      </c>
      <c r="Q38">
        <v>90</v>
      </c>
      <c r="R38">
        <v>30</v>
      </c>
      <c r="S38">
        <v>15</v>
      </c>
      <c r="T38" s="1">
        <v>1681</v>
      </c>
      <c r="U38">
        <v>-1</v>
      </c>
      <c r="V38" s="1">
        <v>12248</v>
      </c>
      <c r="W38" s="1">
        <v>1785</v>
      </c>
      <c r="X38" s="1">
        <v>52053</v>
      </c>
      <c r="Z38" t="s">
        <v>1189</v>
      </c>
      <c r="AA38" t="s">
        <v>1190</v>
      </c>
      <c r="AB38">
        <v>27565</v>
      </c>
      <c r="AC38">
        <v>339</v>
      </c>
      <c r="AD38" t="s">
        <v>1191</v>
      </c>
      <c r="AE38" t="s">
        <v>1190</v>
      </c>
      <c r="AF38">
        <v>27565</v>
      </c>
      <c r="AG38">
        <v>2</v>
      </c>
      <c r="AH38" t="s">
        <v>1192</v>
      </c>
      <c r="AJ38" t="s">
        <v>35</v>
      </c>
      <c r="AK38" t="s">
        <v>1193</v>
      </c>
      <c r="AL38" t="s">
        <v>1194</v>
      </c>
      <c r="AM38" t="s">
        <v>1195</v>
      </c>
      <c r="AN38" t="s">
        <v>1196</v>
      </c>
      <c r="AO38" t="s">
        <v>1197</v>
      </c>
      <c r="AP38" t="s">
        <v>1194</v>
      </c>
      <c r="AQ38" t="s">
        <v>706</v>
      </c>
      <c r="AR38" t="s">
        <v>1195</v>
      </c>
      <c r="AS38" t="s">
        <v>1196</v>
      </c>
      <c r="AT38" t="s">
        <v>1197</v>
      </c>
      <c r="AU38" t="s">
        <v>1198</v>
      </c>
      <c r="BC38">
        <v>1</v>
      </c>
      <c r="BD38">
        <v>3</v>
      </c>
      <c r="BE38">
        <v>0</v>
      </c>
      <c r="BF38">
        <v>3</v>
      </c>
      <c r="BG38">
        <v>7</v>
      </c>
      <c r="BI38" s="1">
        <v>7644</v>
      </c>
      <c r="BJ38">
        <v>5</v>
      </c>
      <c r="BK38">
        <v>0</v>
      </c>
      <c r="BL38">
        <v>5</v>
      </c>
      <c r="BM38">
        <v>18.5</v>
      </c>
      <c r="BN38">
        <v>23.5</v>
      </c>
      <c r="BO38" s="3">
        <v>0.21279999999999999</v>
      </c>
      <c r="BP38" s="1">
        <v>3000</v>
      </c>
      <c r="BQ38" s="4">
        <v>73429</v>
      </c>
      <c r="BU38" s="4">
        <v>33036</v>
      </c>
      <c r="BV38" s="4">
        <v>64101</v>
      </c>
      <c r="BW38" s="4">
        <v>48569</v>
      </c>
      <c r="CC38" s="4">
        <v>29963</v>
      </c>
      <c r="CD38" s="4">
        <v>58139</v>
      </c>
      <c r="CE38" s="1">
        <v>44051</v>
      </c>
      <c r="CG38" s="4">
        <v>22356</v>
      </c>
      <c r="CH38" s="4">
        <v>43381</v>
      </c>
      <c r="CI38" s="4">
        <v>32869</v>
      </c>
      <c r="CK38" s="4">
        <v>22356</v>
      </c>
      <c r="CL38" s="4">
        <v>43381</v>
      </c>
      <c r="CM38" s="1">
        <v>32869</v>
      </c>
      <c r="CR38" s="4">
        <v>25890</v>
      </c>
      <c r="CS38" s="4">
        <v>50235</v>
      </c>
      <c r="CT38" s="4">
        <v>38062</v>
      </c>
      <c r="DO38" s="4">
        <v>22356</v>
      </c>
      <c r="DP38" s="4">
        <v>43381</v>
      </c>
      <c r="DQ38" s="4">
        <v>32869</v>
      </c>
      <c r="DV38" s="4">
        <v>0</v>
      </c>
      <c r="DW38" s="4">
        <v>1697908</v>
      </c>
      <c r="DX38" s="4">
        <v>1697908</v>
      </c>
      <c r="DY38" s="4">
        <v>108151</v>
      </c>
      <c r="DZ38" s="4">
        <v>0</v>
      </c>
      <c r="EA38" s="4">
        <v>108151</v>
      </c>
      <c r="EB38" s="4">
        <v>18475</v>
      </c>
      <c r="EC38" s="4">
        <v>0</v>
      </c>
      <c r="ED38" s="4">
        <v>18475</v>
      </c>
      <c r="EE38" s="4">
        <v>5471</v>
      </c>
      <c r="EF38" s="4">
        <v>1830005</v>
      </c>
      <c r="EG38" s="4">
        <v>547775</v>
      </c>
      <c r="EH38" s="4">
        <v>160579</v>
      </c>
      <c r="EI38" s="4">
        <v>708354</v>
      </c>
      <c r="EJ38" s="4">
        <v>131647</v>
      </c>
      <c r="EK38" s="4">
        <v>32993</v>
      </c>
      <c r="EL38" s="4">
        <v>22061</v>
      </c>
      <c r="EM38" s="4">
        <v>186701</v>
      </c>
      <c r="EN38" s="4">
        <v>116678</v>
      </c>
      <c r="EO38" s="4">
        <v>1011733</v>
      </c>
      <c r="EP38" s="4">
        <v>818272</v>
      </c>
      <c r="EQ38" s="3">
        <v>0.4471</v>
      </c>
      <c r="ER38" s="4">
        <v>614764</v>
      </c>
      <c r="ES38" s="4">
        <v>0</v>
      </c>
      <c r="ET38" s="4">
        <v>0</v>
      </c>
      <c r="EU38" s="4">
        <v>0</v>
      </c>
      <c r="EV38" s="4">
        <v>614764</v>
      </c>
      <c r="EW38" s="4">
        <v>0</v>
      </c>
      <c r="EX38" s="1">
        <v>19877</v>
      </c>
      <c r="EY38" s="1">
        <v>228430</v>
      </c>
      <c r="EZ38" s="1">
        <v>41928</v>
      </c>
      <c r="FA38" s="1">
        <v>6719</v>
      </c>
      <c r="FB38" s="1">
        <v>26289</v>
      </c>
      <c r="FC38" s="1">
        <v>32259</v>
      </c>
      <c r="FD38">
        <v>996</v>
      </c>
      <c r="FE38" s="1">
        <v>11892</v>
      </c>
      <c r="FF38" s="1">
        <v>74187</v>
      </c>
      <c r="FG38" s="1">
        <v>7715</v>
      </c>
      <c r="FH38" s="1">
        <v>38181</v>
      </c>
      <c r="FI38" s="1">
        <v>120083</v>
      </c>
      <c r="FJ38" s="1">
        <v>6877</v>
      </c>
      <c r="FK38">
        <v>175</v>
      </c>
      <c r="FM38" s="1">
        <v>120083</v>
      </c>
      <c r="FN38" s="1">
        <v>3638</v>
      </c>
      <c r="FO38" s="1">
        <v>5776</v>
      </c>
      <c r="FP38">
        <v>11</v>
      </c>
      <c r="FQ38">
        <v>5</v>
      </c>
      <c r="FR38">
        <v>88</v>
      </c>
      <c r="FS38">
        <v>93</v>
      </c>
      <c r="FT38" s="1">
        <v>44141</v>
      </c>
      <c r="FU38" s="1">
        <v>3505</v>
      </c>
      <c r="FV38">
        <v>0</v>
      </c>
      <c r="FW38">
        <v>0</v>
      </c>
      <c r="FX38" s="1">
        <v>8544</v>
      </c>
      <c r="FY38" s="1">
        <v>1573</v>
      </c>
      <c r="FZ38">
        <v>322</v>
      </c>
      <c r="GA38">
        <v>0</v>
      </c>
      <c r="GB38" s="1">
        <v>26436</v>
      </c>
      <c r="GC38" s="1">
        <v>1747</v>
      </c>
      <c r="GD38">
        <v>278</v>
      </c>
      <c r="GE38">
        <v>0</v>
      </c>
      <c r="GJ38">
        <v>10</v>
      </c>
      <c r="GK38" s="1">
        <v>5201</v>
      </c>
      <c r="GL38">
        <v>10</v>
      </c>
      <c r="GM38">
        <v>10</v>
      </c>
      <c r="GN38" s="1">
        <v>79131</v>
      </c>
      <c r="GO38" s="1">
        <v>12026</v>
      </c>
      <c r="GP38">
        <v>610</v>
      </c>
      <c r="GQ38">
        <v>10</v>
      </c>
      <c r="GR38">
        <v>12</v>
      </c>
      <c r="GT38" s="1">
        <v>38139</v>
      </c>
      <c r="GU38" s="1">
        <v>5673</v>
      </c>
      <c r="GV38" s="1">
        <v>33401</v>
      </c>
      <c r="GW38" s="1">
        <v>11504</v>
      </c>
      <c r="GX38">
        <v>296</v>
      </c>
      <c r="GY38" s="1">
        <v>5564</v>
      </c>
      <c r="GZ38" s="1">
        <v>49643</v>
      </c>
      <c r="HA38" s="1">
        <v>5969</v>
      </c>
      <c r="HB38" s="1">
        <v>38965</v>
      </c>
      <c r="HC38" s="1">
        <v>94577</v>
      </c>
      <c r="HD38" s="1">
        <v>1255</v>
      </c>
      <c r="HE38" s="1">
        <v>97814</v>
      </c>
      <c r="HF38" s="1">
        <v>3224</v>
      </c>
      <c r="HG38" s="1">
        <v>25958</v>
      </c>
      <c r="HH38" s="1">
        <v>1982</v>
      </c>
      <c r="HI38" s="1">
        <v>1084</v>
      </c>
      <c r="HJ38" s="1">
        <v>30266</v>
      </c>
      <c r="HK38" s="1">
        <v>128080</v>
      </c>
      <c r="HL38">
        <v>26</v>
      </c>
      <c r="HM38" s="1">
        <v>10467</v>
      </c>
      <c r="HN38" s="1">
        <v>10493</v>
      </c>
      <c r="HO38">
        <v>475</v>
      </c>
      <c r="HP38" s="1">
        <v>1299</v>
      </c>
      <c r="HQ38" s="1">
        <v>1774</v>
      </c>
      <c r="HR38">
        <v>0</v>
      </c>
      <c r="HS38">
        <v>25</v>
      </c>
      <c r="HT38">
        <v>25</v>
      </c>
      <c r="HU38">
        <v>79</v>
      </c>
      <c r="HV38" s="1">
        <v>12371</v>
      </c>
      <c r="HW38" s="1">
        <v>21754</v>
      </c>
      <c r="HX38">
        <v>0</v>
      </c>
      <c r="HY38" s="1">
        <v>21754</v>
      </c>
      <c r="HZ38" s="1">
        <v>34125</v>
      </c>
      <c r="IA38" s="1">
        <v>4998</v>
      </c>
      <c r="IB38" s="1">
        <v>30981</v>
      </c>
      <c r="IC38" s="1">
        <v>140451</v>
      </c>
      <c r="ID38" s="1">
        <v>140451</v>
      </c>
      <c r="IE38" s="1">
        <v>162205</v>
      </c>
      <c r="IF38" s="1">
        <v>51555</v>
      </c>
      <c r="IG38">
        <v>-1</v>
      </c>
      <c r="IK38" s="3">
        <v>2.8000000000000001E-2</v>
      </c>
      <c r="IL38" s="3">
        <v>8.0000000000000004E-4</v>
      </c>
      <c r="IM38" s="3">
        <v>0.40179999999999999</v>
      </c>
      <c r="IN38" s="3">
        <v>0</v>
      </c>
      <c r="IO38" s="3">
        <v>0.34639999999999999</v>
      </c>
      <c r="IP38" s="3">
        <v>4.0000000000000002E-4</v>
      </c>
      <c r="IQ38" s="3">
        <v>0.52569999999999995</v>
      </c>
      <c r="IR38" s="3">
        <v>6.8599999999999994E-2</v>
      </c>
      <c r="IS38" s="3">
        <v>0.36709999999999998</v>
      </c>
      <c r="IT38" s="1">
        <v>35548</v>
      </c>
      <c r="IU38" s="1">
        <v>5327</v>
      </c>
      <c r="IV38" s="1">
        <v>40875</v>
      </c>
      <c r="IW38" s="3">
        <v>0.69820000000000004</v>
      </c>
      <c r="IX38" s="1">
        <v>191721</v>
      </c>
      <c r="IZ38">
        <v>197</v>
      </c>
      <c r="JA38">
        <v>40</v>
      </c>
      <c r="JB38">
        <v>218</v>
      </c>
      <c r="JC38">
        <v>9</v>
      </c>
      <c r="JD38">
        <v>2</v>
      </c>
      <c r="JE38">
        <v>3</v>
      </c>
      <c r="JF38">
        <v>206</v>
      </c>
      <c r="JG38">
        <v>42</v>
      </c>
      <c r="JH38">
        <v>221</v>
      </c>
      <c r="JI38">
        <v>469</v>
      </c>
      <c r="JJ38">
        <v>455</v>
      </c>
      <c r="JK38">
        <v>14</v>
      </c>
      <c r="JL38" s="1">
        <v>1786</v>
      </c>
      <c r="JM38">
        <v>738</v>
      </c>
      <c r="JN38" s="1">
        <v>4334</v>
      </c>
      <c r="JO38">
        <v>53</v>
      </c>
      <c r="JP38">
        <v>92</v>
      </c>
      <c r="JQ38">
        <v>0</v>
      </c>
      <c r="JR38" s="1">
        <v>1839</v>
      </c>
      <c r="JS38">
        <v>830</v>
      </c>
      <c r="JT38" s="1">
        <v>4334</v>
      </c>
      <c r="JU38" s="1">
        <v>7003</v>
      </c>
      <c r="JV38" s="1">
        <v>6858</v>
      </c>
      <c r="JW38">
        <v>145</v>
      </c>
      <c r="JX38">
        <v>14.93</v>
      </c>
      <c r="JY38">
        <v>8.93</v>
      </c>
      <c r="JZ38">
        <v>19.61</v>
      </c>
      <c r="KA38">
        <v>0.26</v>
      </c>
      <c r="KB38">
        <v>0.62</v>
      </c>
      <c r="KC38">
        <v>230</v>
      </c>
      <c r="KD38" s="1">
        <v>9000</v>
      </c>
      <c r="KE38">
        <v>40</v>
      </c>
      <c r="KF38">
        <v>128</v>
      </c>
      <c r="KG38">
        <v>0</v>
      </c>
      <c r="KH38">
        <v>0</v>
      </c>
      <c r="KI38">
        <v>0</v>
      </c>
      <c r="KJ38">
        <v>0</v>
      </c>
      <c r="KK38">
        <v>5</v>
      </c>
      <c r="KL38">
        <v>37</v>
      </c>
      <c r="KM38" s="1">
        <v>34119</v>
      </c>
      <c r="KN38" s="1">
        <v>9868</v>
      </c>
      <c r="KO38" s="1">
        <v>1331</v>
      </c>
      <c r="KQ38">
        <v>350</v>
      </c>
      <c r="KR38" s="1">
        <v>7500</v>
      </c>
      <c r="KS38">
        <v>506</v>
      </c>
      <c r="KT38">
        <v>71</v>
      </c>
      <c r="KU38">
        <v>22</v>
      </c>
      <c r="KV38">
        <v>46</v>
      </c>
      <c r="KW38" s="1">
        <v>56883</v>
      </c>
      <c r="KY38">
        <v>0</v>
      </c>
      <c r="KZ38">
        <v>0</v>
      </c>
      <c r="LC38" t="s">
        <v>1199</v>
      </c>
      <c r="LD38" t="s">
        <v>709</v>
      </c>
      <c r="LE38" t="s">
        <v>1189</v>
      </c>
      <c r="LF38" t="s">
        <v>1190</v>
      </c>
      <c r="LG38">
        <v>27565</v>
      </c>
      <c r="LH38">
        <v>339</v>
      </c>
      <c r="LI38" t="s">
        <v>1191</v>
      </c>
      <c r="LJ38" t="s">
        <v>1190</v>
      </c>
      <c r="LK38">
        <v>27565</v>
      </c>
      <c r="LL38">
        <v>339</v>
      </c>
      <c r="LM38" t="s">
        <v>1193</v>
      </c>
      <c r="LN38">
        <v>9196931121</v>
      </c>
      <c r="LO38">
        <v>9196932244</v>
      </c>
      <c r="LP38" s="1">
        <v>31653</v>
      </c>
      <c r="LQ38">
        <v>18</v>
      </c>
      <c r="LS38" s="1">
        <v>7644</v>
      </c>
      <c r="LT38">
        <v>52</v>
      </c>
      <c r="LW38">
        <v>2</v>
      </c>
      <c r="LX38" t="s">
        <v>1200</v>
      </c>
      <c r="LY38">
        <v>0</v>
      </c>
      <c r="LZ38" t="s">
        <v>691</v>
      </c>
      <c r="MA38">
        <v>1.4</v>
      </c>
      <c r="MB38">
        <v>1.6</v>
      </c>
    </row>
    <row r="39" spans="1:340" x14ac:dyDescent="0.25">
      <c r="A39" t="s">
        <v>1201</v>
      </c>
      <c r="B39">
        <v>0</v>
      </c>
      <c r="C39">
        <v>1375</v>
      </c>
      <c r="D39">
        <v>2017</v>
      </c>
      <c r="E39">
        <v>0</v>
      </c>
      <c r="F39" t="s">
        <v>1201</v>
      </c>
      <c r="G39" t="s">
        <v>1202</v>
      </c>
      <c r="H39" t="s">
        <v>668</v>
      </c>
      <c r="I39" t="s">
        <v>899</v>
      </c>
      <c r="J39" t="s">
        <v>670</v>
      </c>
      <c r="K39" t="s">
        <v>671</v>
      </c>
      <c r="L39" t="s">
        <v>791</v>
      </c>
      <c r="M39" t="s">
        <v>673</v>
      </c>
      <c r="N39" s="1">
        <v>517124</v>
      </c>
      <c r="O39" t="s">
        <v>674</v>
      </c>
      <c r="P39" s="1">
        <v>4509</v>
      </c>
      <c r="Q39" s="1">
        <v>1016</v>
      </c>
      <c r="R39">
        <v>512</v>
      </c>
      <c r="S39">
        <v>120</v>
      </c>
      <c r="T39" s="1">
        <v>19602</v>
      </c>
      <c r="U39" s="1">
        <v>1345</v>
      </c>
      <c r="V39" s="1">
        <v>180395</v>
      </c>
      <c r="W39" s="1">
        <v>21000</v>
      </c>
      <c r="Z39" t="s">
        <v>1203</v>
      </c>
      <c r="AA39" t="s">
        <v>1204</v>
      </c>
      <c r="AB39">
        <v>27402</v>
      </c>
      <c r="AC39">
        <v>3178</v>
      </c>
      <c r="AD39" t="s">
        <v>1205</v>
      </c>
      <c r="AE39" t="s">
        <v>1204</v>
      </c>
      <c r="AF39">
        <v>27401</v>
      </c>
      <c r="AG39">
        <v>2</v>
      </c>
      <c r="AH39" t="s">
        <v>1206</v>
      </c>
      <c r="AJ39" t="s">
        <v>35</v>
      </c>
      <c r="AK39" t="s">
        <v>1207</v>
      </c>
      <c r="AL39" t="s">
        <v>1208</v>
      </c>
      <c r="AM39" t="s">
        <v>1209</v>
      </c>
      <c r="AN39" t="s">
        <v>1210</v>
      </c>
      <c r="AO39" t="s">
        <v>1211</v>
      </c>
      <c r="AP39" t="s">
        <v>1212</v>
      </c>
      <c r="AQ39" t="s">
        <v>1213</v>
      </c>
      <c r="AR39" t="s">
        <v>1214</v>
      </c>
      <c r="AS39" t="s">
        <v>1210</v>
      </c>
      <c r="AT39" t="s">
        <v>1215</v>
      </c>
      <c r="AU39" t="s">
        <v>1216</v>
      </c>
      <c r="BC39">
        <v>1</v>
      </c>
      <c r="BD39">
        <v>7</v>
      </c>
      <c r="BE39">
        <v>0</v>
      </c>
      <c r="BF39">
        <v>0</v>
      </c>
      <c r="BG39">
        <v>8</v>
      </c>
      <c r="BI39" s="1">
        <v>27652</v>
      </c>
      <c r="BJ39">
        <v>26</v>
      </c>
      <c r="BK39">
        <v>9</v>
      </c>
      <c r="BL39">
        <v>35</v>
      </c>
      <c r="BM39">
        <v>60</v>
      </c>
      <c r="BN39">
        <v>95</v>
      </c>
      <c r="BO39" s="3">
        <v>0.2737</v>
      </c>
      <c r="BP39" s="1">
        <v>16888</v>
      </c>
      <c r="BQ39" s="4">
        <v>120467</v>
      </c>
      <c r="BT39" s="1">
        <v>88000</v>
      </c>
      <c r="BU39" s="4">
        <v>46161</v>
      </c>
      <c r="BV39" s="4">
        <v>59122</v>
      </c>
      <c r="BW39" s="4">
        <v>54621</v>
      </c>
      <c r="CA39" s="4">
        <v>63096</v>
      </c>
      <c r="CE39" s="1">
        <v>63788</v>
      </c>
      <c r="CI39" s="4">
        <v>63788</v>
      </c>
      <c r="CM39" s="1">
        <v>46161</v>
      </c>
      <c r="CQ39" s="4">
        <v>60364</v>
      </c>
      <c r="CR39" s="4">
        <v>39009</v>
      </c>
      <c r="CS39" s="4">
        <v>52189</v>
      </c>
      <c r="CT39" s="4">
        <v>45191</v>
      </c>
      <c r="CV39" s="4">
        <v>37000</v>
      </c>
      <c r="CW39" s="4">
        <v>58366</v>
      </c>
      <c r="CX39" s="4">
        <v>47168</v>
      </c>
      <c r="DB39" s="4">
        <v>48383</v>
      </c>
      <c r="DQ39" s="4">
        <v>36065</v>
      </c>
      <c r="DS39" s="4">
        <v>38436</v>
      </c>
      <c r="DT39" s="4">
        <v>55051</v>
      </c>
      <c r="DU39" s="4">
        <v>44470</v>
      </c>
      <c r="DV39" s="4">
        <v>7147636</v>
      </c>
      <c r="DW39" s="4">
        <v>1356847</v>
      </c>
      <c r="DX39" s="4">
        <v>8504483</v>
      </c>
      <c r="DY39" s="4">
        <v>379326</v>
      </c>
      <c r="DZ39" s="4">
        <v>0</v>
      </c>
      <c r="EA39" s="4">
        <v>379326</v>
      </c>
      <c r="EB39" s="4">
        <v>0</v>
      </c>
      <c r="EC39" s="4">
        <v>0</v>
      </c>
      <c r="ED39" s="4">
        <v>0</v>
      </c>
      <c r="EE39" s="4">
        <v>198100</v>
      </c>
      <c r="EF39" s="4">
        <v>9081909</v>
      </c>
      <c r="EG39" s="4">
        <v>4124737</v>
      </c>
      <c r="EH39" s="4">
        <v>1549652</v>
      </c>
      <c r="EI39" s="4">
        <v>5674389</v>
      </c>
      <c r="EJ39" s="4">
        <v>472487</v>
      </c>
      <c r="EK39" s="4">
        <v>174804</v>
      </c>
      <c r="EL39" s="4">
        <v>364457</v>
      </c>
      <c r="EM39" s="4">
        <v>1011748</v>
      </c>
      <c r="EN39" s="4">
        <v>1597345</v>
      </c>
      <c r="EO39" s="4">
        <v>8283482</v>
      </c>
      <c r="EP39" s="4">
        <v>798427</v>
      </c>
      <c r="EQ39" s="3">
        <v>8.7900000000000006E-2</v>
      </c>
      <c r="ER39" s="4">
        <v>0</v>
      </c>
      <c r="ES39" s="4">
        <v>0</v>
      </c>
      <c r="ET39" s="4">
        <v>0</v>
      </c>
      <c r="EU39" s="4">
        <v>0</v>
      </c>
      <c r="EV39" s="4">
        <v>0</v>
      </c>
      <c r="EW39" s="4">
        <v>0</v>
      </c>
      <c r="EX39" s="1">
        <v>111461</v>
      </c>
      <c r="EY39" s="1">
        <v>778156</v>
      </c>
      <c r="EZ39" s="1">
        <v>124030</v>
      </c>
      <c r="FA39" s="1">
        <v>28845</v>
      </c>
      <c r="FB39" s="1">
        <v>132408</v>
      </c>
      <c r="FC39" s="1">
        <v>162011</v>
      </c>
      <c r="FD39" s="1">
        <v>2683</v>
      </c>
      <c r="FE39" s="1">
        <v>73835</v>
      </c>
      <c r="FF39" s="1">
        <v>286041</v>
      </c>
      <c r="FG39" s="1">
        <v>31528</v>
      </c>
      <c r="FH39" s="1">
        <v>206243</v>
      </c>
      <c r="FI39" s="1">
        <v>523812</v>
      </c>
      <c r="FJ39" s="1">
        <v>1167</v>
      </c>
      <c r="FK39">
        <v>704</v>
      </c>
      <c r="FM39" s="1">
        <v>523812</v>
      </c>
      <c r="FN39" s="1">
        <v>23126</v>
      </c>
      <c r="FO39" s="1">
        <v>60950</v>
      </c>
      <c r="FP39" s="1">
        <v>10491</v>
      </c>
      <c r="FQ39">
        <v>14</v>
      </c>
      <c r="FR39">
        <v>88</v>
      </c>
      <c r="FS39">
        <v>102</v>
      </c>
      <c r="FT39" s="1">
        <v>44141</v>
      </c>
      <c r="FU39" s="1">
        <v>3505</v>
      </c>
      <c r="FV39">
        <v>0</v>
      </c>
      <c r="FW39">
        <v>0</v>
      </c>
      <c r="FX39" s="1">
        <v>8544</v>
      </c>
      <c r="FY39" s="1">
        <v>1573</v>
      </c>
      <c r="FZ39">
        <v>322</v>
      </c>
      <c r="GA39">
        <v>0</v>
      </c>
      <c r="GF39" s="1">
        <v>36593</v>
      </c>
      <c r="GG39" s="1">
        <v>13194</v>
      </c>
      <c r="GH39">
        <v>264</v>
      </c>
      <c r="GI39">
        <v>12</v>
      </c>
      <c r="GJ39" s="1">
        <v>39234</v>
      </c>
      <c r="GK39" s="1">
        <v>10215</v>
      </c>
      <c r="GL39">
        <v>207</v>
      </c>
      <c r="GM39">
        <v>0</v>
      </c>
      <c r="GN39" s="1">
        <v>128512</v>
      </c>
      <c r="GO39" s="1">
        <v>28487</v>
      </c>
      <c r="GP39">
        <v>793</v>
      </c>
      <c r="GQ39">
        <v>12</v>
      </c>
      <c r="GR39">
        <v>154</v>
      </c>
      <c r="GT39" s="1">
        <v>247073</v>
      </c>
      <c r="GU39" s="1">
        <v>63877</v>
      </c>
      <c r="GV39" s="1">
        <v>513016</v>
      </c>
      <c r="GW39" s="1">
        <v>100886</v>
      </c>
      <c r="GX39" s="1">
        <v>1851</v>
      </c>
      <c r="GY39" s="1">
        <v>116161</v>
      </c>
      <c r="GZ39" s="1">
        <v>347959</v>
      </c>
      <c r="HA39" s="1">
        <v>65728</v>
      </c>
      <c r="HB39" s="1">
        <v>629177</v>
      </c>
      <c r="HC39" s="1">
        <v>1042864</v>
      </c>
      <c r="HD39">
        <v>0</v>
      </c>
      <c r="HE39" s="1">
        <v>1043317</v>
      </c>
      <c r="HF39" s="1">
        <v>48497</v>
      </c>
      <c r="HG39" s="1">
        <v>279046</v>
      </c>
      <c r="HH39">
        <v>453</v>
      </c>
      <c r="HI39" s="1">
        <v>2888</v>
      </c>
      <c r="HJ39" s="1">
        <v>330431</v>
      </c>
      <c r="HK39" s="1">
        <v>1373748</v>
      </c>
      <c r="HL39">
        <v>173</v>
      </c>
      <c r="HM39" s="1">
        <v>217352</v>
      </c>
      <c r="HN39" s="1">
        <v>217525</v>
      </c>
      <c r="HO39">
        <v>36</v>
      </c>
      <c r="HP39" s="1">
        <v>116401</v>
      </c>
      <c r="HQ39" s="1">
        <v>116437</v>
      </c>
      <c r="HR39">
        <v>0</v>
      </c>
      <c r="HS39" s="1">
        <v>1072</v>
      </c>
      <c r="HT39" s="1">
        <v>1072</v>
      </c>
      <c r="HU39" s="1">
        <v>6866</v>
      </c>
      <c r="HV39" s="1">
        <v>341900</v>
      </c>
      <c r="HW39" s="1">
        <v>312292</v>
      </c>
      <c r="HX39" s="1">
        <v>44045</v>
      </c>
      <c r="HY39" s="1">
        <v>356337</v>
      </c>
      <c r="HZ39" s="1">
        <v>698237</v>
      </c>
      <c r="IA39" s="1">
        <v>164934</v>
      </c>
      <c r="IB39" s="1">
        <v>445052</v>
      </c>
      <c r="IC39" s="1">
        <v>1715648</v>
      </c>
      <c r="ID39" s="1">
        <v>1715648</v>
      </c>
      <c r="IE39" s="1">
        <v>2071985</v>
      </c>
      <c r="IF39" s="1">
        <v>694905</v>
      </c>
      <c r="IG39" s="1">
        <v>3248</v>
      </c>
      <c r="IJ39">
        <v>1</v>
      </c>
      <c r="IK39" s="3">
        <v>7.9299999999999995E-2</v>
      </c>
      <c r="IL39" s="3">
        <v>8.9999999999999998E-4</v>
      </c>
      <c r="IM39" s="3">
        <v>0.20280000000000001</v>
      </c>
      <c r="IN39" s="3">
        <v>0</v>
      </c>
      <c r="IO39" s="3">
        <v>0.1651</v>
      </c>
      <c r="IP39" s="3">
        <v>1E-4</v>
      </c>
      <c r="IQ39" s="3">
        <v>0.67310000000000003</v>
      </c>
      <c r="IR39" s="3">
        <v>6.6299999999999998E-2</v>
      </c>
      <c r="IS39" s="3">
        <v>0.40500000000000003</v>
      </c>
      <c r="IT39" s="1">
        <v>215117</v>
      </c>
      <c r="IU39" s="1">
        <v>63515</v>
      </c>
      <c r="IV39" s="1">
        <v>278632</v>
      </c>
      <c r="IW39" s="3">
        <v>0.53879999999999995</v>
      </c>
      <c r="IX39" s="1">
        <v>2692069</v>
      </c>
      <c r="IZ39" s="1">
        <v>1572</v>
      </c>
      <c r="JA39">
        <v>335</v>
      </c>
      <c r="JB39" s="1">
        <v>2066</v>
      </c>
      <c r="JC39">
        <v>105</v>
      </c>
      <c r="JD39">
        <v>1</v>
      </c>
      <c r="JE39">
        <v>468</v>
      </c>
      <c r="JF39" s="1">
        <v>1677</v>
      </c>
      <c r="JG39">
        <v>336</v>
      </c>
      <c r="JH39" s="1">
        <v>2534</v>
      </c>
      <c r="JI39" s="1">
        <v>4547</v>
      </c>
      <c r="JJ39" s="1">
        <v>3973</v>
      </c>
      <c r="JK39">
        <v>574</v>
      </c>
      <c r="JL39" s="1">
        <v>9039</v>
      </c>
      <c r="JM39" s="1">
        <v>3190</v>
      </c>
      <c r="JN39" s="1">
        <v>57959</v>
      </c>
      <c r="JO39" s="1">
        <v>2426</v>
      </c>
      <c r="JP39">
        <v>7</v>
      </c>
      <c r="JQ39" s="1">
        <v>18290</v>
      </c>
      <c r="JR39" s="1">
        <v>11465</v>
      </c>
      <c r="JS39" s="1">
        <v>3197</v>
      </c>
      <c r="JT39" s="1">
        <v>76249</v>
      </c>
      <c r="JU39" s="1">
        <v>90911</v>
      </c>
      <c r="JV39" s="1">
        <v>70188</v>
      </c>
      <c r="JW39" s="1">
        <v>20723</v>
      </c>
      <c r="JX39">
        <v>19.989999999999998</v>
      </c>
      <c r="JY39">
        <v>6.84</v>
      </c>
      <c r="JZ39">
        <v>30.09</v>
      </c>
      <c r="KA39">
        <v>0.13</v>
      </c>
      <c r="KB39">
        <v>0.84</v>
      </c>
      <c r="KC39">
        <v>92</v>
      </c>
      <c r="KD39" s="1">
        <v>1040</v>
      </c>
      <c r="KE39">
        <v>181</v>
      </c>
      <c r="KF39">
        <v>700</v>
      </c>
      <c r="KG39" s="1">
        <v>1317</v>
      </c>
      <c r="KH39" s="1">
        <v>34772</v>
      </c>
      <c r="KI39">
        <v>265</v>
      </c>
      <c r="KJ39">
        <v>710</v>
      </c>
      <c r="KK39">
        <v>353</v>
      </c>
      <c r="KL39" s="1">
        <v>13328</v>
      </c>
      <c r="KM39" s="1">
        <v>320853</v>
      </c>
      <c r="KN39" s="1">
        <v>120965</v>
      </c>
      <c r="KO39">
        <v>346</v>
      </c>
      <c r="KQ39" s="1">
        <v>5789</v>
      </c>
      <c r="KR39" s="1">
        <v>33874</v>
      </c>
      <c r="KS39">
        <v>716</v>
      </c>
      <c r="KT39">
        <v>453</v>
      </c>
      <c r="KU39">
        <v>124</v>
      </c>
      <c r="KV39">
        <v>256</v>
      </c>
      <c r="KW39" s="1">
        <v>351983</v>
      </c>
      <c r="KY39" s="1">
        <v>1097326</v>
      </c>
      <c r="KZ39">
        <v>0</v>
      </c>
      <c r="LC39" t="s">
        <v>1206</v>
      </c>
      <c r="LD39" t="s">
        <v>689</v>
      </c>
      <c r="LE39" t="s">
        <v>1203</v>
      </c>
      <c r="LF39" t="s">
        <v>1204</v>
      </c>
      <c r="LG39">
        <v>27402</v>
      </c>
      <c r="LH39">
        <v>3178</v>
      </c>
      <c r="LI39" t="s">
        <v>1205</v>
      </c>
      <c r="LJ39" t="s">
        <v>1204</v>
      </c>
      <c r="LK39">
        <v>27401</v>
      </c>
      <c r="LL39">
        <v>2941</v>
      </c>
      <c r="LM39" t="s">
        <v>1207</v>
      </c>
      <c r="LN39">
        <v>3363732474</v>
      </c>
      <c r="LO39">
        <v>3363336781</v>
      </c>
      <c r="LP39" s="1">
        <v>177988</v>
      </c>
      <c r="LQ39">
        <v>95.01</v>
      </c>
      <c r="LS39" s="1">
        <v>27652</v>
      </c>
      <c r="LT39">
        <v>416</v>
      </c>
      <c r="LW39">
        <v>12</v>
      </c>
      <c r="LX39" t="s">
        <v>1217</v>
      </c>
      <c r="LY39">
        <v>0</v>
      </c>
      <c r="LZ39" t="s">
        <v>691</v>
      </c>
      <c r="MA39">
        <v>50.17</v>
      </c>
      <c r="MB39">
        <v>94.93</v>
      </c>
    </row>
    <row r="40" spans="1:340" x14ac:dyDescent="0.25">
      <c r="A40" t="s">
        <v>1218</v>
      </c>
      <c r="B40">
        <v>0</v>
      </c>
      <c r="C40">
        <v>1375</v>
      </c>
      <c r="D40">
        <v>2017</v>
      </c>
      <c r="E40">
        <v>0</v>
      </c>
      <c r="F40" t="s">
        <v>1218</v>
      </c>
      <c r="G40" t="s">
        <v>1219</v>
      </c>
      <c r="H40" t="s">
        <v>668</v>
      </c>
      <c r="I40" t="s">
        <v>669</v>
      </c>
      <c r="J40" t="s">
        <v>670</v>
      </c>
      <c r="K40" t="s">
        <v>671</v>
      </c>
      <c r="L40" t="s">
        <v>791</v>
      </c>
      <c r="M40" t="s">
        <v>673</v>
      </c>
      <c r="N40" s="1">
        <v>37237</v>
      </c>
      <c r="O40" t="s">
        <v>674</v>
      </c>
      <c r="P40">
        <v>434</v>
      </c>
      <c r="Q40">
        <v>48</v>
      </c>
      <c r="R40">
        <v>26</v>
      </c>
      <c r="S40">
        <v>6</v>
      </c>
      <c r="T40">
        <v>462</v>
      </c>
      <c r="U40">
        <v>110</v>
      </c>
      <c r="V40" s="1">
        <v>3695</v>
      </c>
      <c r="W40">
        <v>56</v>
      </c>
      <c r="X40" s="1">
        <v>38364</v>
      </c>
      <c r="Y40" s="1">
        <v>14925</v>
      </c>
      <c r="Z40" t="s">
        <v>1220</v>
      </c>
      <c r="AA40" t="s">
        <v>1221</v>
      </c>
      <c r="AB40">
        <v>27839</v>
      </c>
      <c r="AC40">
        <v>97</v>
      </c>
      <c r="AD40" t="s">
        <v>1222</v>
      </c>
      <c r="AE40" t="s">
        <v>1221</v>
      </c>
      <c r="AF40">
        <v>27839</v>
      </c>
      <c r="AG40">
        <v>1</v>
      </c>
      <c r="AH40" t="s">
        <v>1223</v>
      </c>
      <c r="AJ40" t="s">
        <v>35</v>
      </c>
      <c r="AK40" t="s">
        <v>1221</v>
      </c>
      <c r="AL40" t="s">
        <v>1224</v>
      </c>
      <c r="AM40" t="s">
        <v>1225</v>
      </c>
      <c r="AN40" t="s">
        <v>1226</v>
      </c>
      <c r="AO40" t="s">
        <v>1227</v>
      </c>
      <c r="AP40" t="s">
        <v>1228</v>
      </c>
      <c r="AQ40" t="s">
        <v>706</v>
      </c>
      <c r="AR40" t="s">
        <v>1225</v>
      </c>
      <c r="AS40" t="s">
        <v>1226</v>
      </c>
      <c r="AT40" t="s">
        <v>1227</v>
      </c>
      <c r="AU40" t="s">
        <v>1229</v>
      </c>
      <c r="BC40">
        <v>1</v>
      </c>
      <c r="BD40">
        <v>4</v>
      </c>
      <c r="BE40">
        <v>0</v>
      </c>
      <c r="BF40">
        <v>1</v>
      </c>
      <c r="BG40">
        <v>6</v>
      </c>
      <c r="BI40" s="1">
        <v>12428</v>
      </c>
      <c r="BJ40">
        <v>1</v>
      </c>
      <c r="BK40">
        <v>0</v>
      </c>
      <c r="BL40">
        <v>1</v>
      </c>
      <c r="BM40">
        <v>9</v>
      </c>
      <c r="BN40">
        <v>10</v>
      </c>
      <c r="BO40" s="3">
        <v>0.1</v>
      </c>
      <c r="BP40" s="1">
        <v>1100</v>
      </c>
      <c r="BQ40" s="4">
        <v>70149</v>
      </c>
      <c r="BT40">
        <v>0</v>
      </c>
      <c r="BU40" s="4">
        <v>28326</v>
      </c>
      <c r="BV40" s="4">
        <v>37693</v>
      </c>
      <c r="BW40" s="4">
        <v>31577</v>
      </c>
      <c r="CR40" s="4">
        <v>25330</v>
      </c>
      <c r="CS40" s="4">
        <v>40610</v>
      </c>
      <c r="CT40" s="4">
        <v>25330</v>
      </c>
      <c r="DK40" s="4">
        <v>25017</v>
      </c>
      <c r="DL40" s="4">
        <v>40610</v>
      </c>
      <c r="DM40" s="4">
        <v>25017</v>
      </c>
      <c r="DV40" s="4">
        <v>0</v>
      </c>
      <c r="DW40" s="4">
        <v>503169</v>
      </c>
      <c r="DX40" s="4">
        <v>503169</v>
      </c>
      <c r="DY40" s="4">
        <v>97983</v>
      </c>
      <c r="DZ40" s="4">
        <v>0</v>
      </c>
      <c r="EA40" s="4">
        <v>97983</v>
      </c>
      <c r="EB40" s="4">
        <v>3515</v>
      </c>
      <c r="EC40" s="4">
        <v>0</v>
      </c>
      <c r="ED40" s="4">
        <v>3515</v>
      </c>
      <c r="EE40" s="4">
        <v>14978</v>
      </c>
      <c r="EF40" s="4">
        <v>619645</v>
      </c>
      <c r="EG40" s="4">
        <v>354056</v>
      </c>
      <c r="EH40" s="4">
        <v>133282</v>
      </c>
      <c r="EI40" s="4">
        <v>487338</v>
      </c>
      <c r="EJ40" s="4">
        <v>9960</v>
      </c>
      <c r="EK40" s="4">
        <v>4000</v>
      </c>
      <c r="EL40" s="4">
        <v>0</v>
      </c>
      <c r="EM40" s="4">
        <v>13960</v>
      </c>
      <c r="EN40" s="4">
        <v>52893</v>
      </c>
      <c r="EO40" s="4">
        <v>554191</v>
      </c>
      <c r="EP40" s="4">
        <v>65454</v>
      </c>
      <c r="EQ40" s="3">
        <v>0.1056</v>
      </c>
      <c r="ER40" s="4">
        <v>15632</v>
      </c>
      <c r="ES40" s="4">
        <v>0</v>
      </c>
      <c r="ET40" s="4">
        <v>0</v>
      </c>
      <c r="EU40" s="4">
        <v>0</v>
      </c>
      <c r="EV40" s="4">
        <v>15632</v>
      </c>
      <c r="EW40" s="4">
        <v>13420</v>
      </c>
      <c r="EX40" s="1">
        <v>4693</v>
      </c>
      <c r="EY40" s="1">
        <v>158469</v>
      </c>
      <c r="EZ40" s="1">
        <v>43304</v>
      </c>
      <c r="FA40">
        <v>416</v>
      </c>
      <c r="FB40" s="1">
        <v>15245</v>
      </c>
      <c r="FC40" s="1">
        <v>24811</v>
      </c>
      <c r="FD40">
        <v>278</v>
      </c>
      <c r="FE40" s="1">
        <v>11151</v>
      </c>
      <c r="FF40" s="1">
        <v>68115</v>
      </c>
      <c r="FG40">
        <v>694</v>
      </c>
      <c r="FH40" s="1">
        <v>26396</v>
      </c>
      <c r="FI40" s="1">
        <v>95205</v>
      </c>
      <c r="FJ40" s="1">
        <v>2700</v>
      </c>
      <c r="FK40">
        <v>14</v>
      </c>
      <c r="FM40" s="1">
        <v>95205</v>
      </c>
      <c r="FN40" s="1">
        <v>1117</v>
      </c>
      <c r="FO40">
        <v>71</v>
      </c>
      <c r="FP40" s="1">
        <v>1188</v>
      </c>
      <c r="FQ40">
        <v>1</v>
      </c>
      <c r="FR40">
        <v>88</v>
      </c>
      <c r="FS40">
        <v>89</v>
      </c>
      <c r="FT40" s="1">
        <v>44141</v>
      </c>
      <c r="FU40" s="1">
        <v>3505</v>
      </c>
      <c r="FV40">
        <v>0</v>
      </c>
      <c r="FW40">
        <v>0</v>
      </c>
      <c r="FX40" s="1">
        <v>8544</v>
      </c>
      <c r="FY40" s="1">
        <v>1573</v>
      </c>
      <c r="FZ40">
        <v>322</v>
      </c>
      <c r="GA40">
        <v>0</v>
      </c>
      <c r="GE40">
        <v>0</v>
      </c>
      <c r="GJ40">
        <v>0</v>
      </c>
      <c r="GK40">
        <v>0</v>
      </c>
      <c r="GL40">
        <v>0</v>
      </c>
      <c r="GM40">
        <v>0</v>
      </c>
      <c r="GN40" s="1">
        <v>52685</v>
      </c>
      <c r="GO40" s="1">
        <v>5078</v>
      </c>
      <c r="GP40">
        <v>322</v>
      </c>
      <c r="GQ40">
        <v>0</v>
      </c>
      <c r="GR40">
        <v>110</v>
      </c>
      <c r="GT40" s="1">
        <v>71645</v>
      </c>
      <c r="GU40" s="1">
        <v>1114</v>
      </c>
      <c r="GV40" s="1">
        <v>11139</v>
      </c>
      <c r="GW40" s="1">
        <v>5413</v>
      </c>
      <c r="GX40">
        <v>134</v>
      </c>
      <c r="GY40" s="1">
        <v>1923</v>
      </c>
      <c r="GZ40" s="1">
        <v>77058</v>
      </c>
      <c r="HA40" s="1">
        <v>1248</v>
      </c>
      <c r="HB40" s="1">
        <v>13062</v>
      </c>
      <c r="HC40" s="1">
        <v>91368</v>
      </c>
      <c r="HD40">
        <v>256</v>
      </c>
      <c r="HE40" s="1">
        <v>91624</v>
      </c>
      <c r="HF40">
        <v>615</v>
      </c>
      <c r="HG40">
        <v>109</v>
      </c>
      <c r="HH40">
        <v>0</v>
      </c>
      <c r="HI40">
        <v>0</v>
      </c>
      <c r="HJ40">
        <v>724</v>
      </c>
      <c r="HK40" s="1">
        <v>92348</v>
      </c>
      <c r="HL40">
        <v>63</v>
      </c>
      <c r="HM40">
        <v>114</v>
      </c>
      <c r="HN40">
        <v>177</v>
      </c>
      <c r="HO40">
        <v>17</v>
      </c>
      <c r="HP40">
        <v>0</v>
      </c>
      <c r="HQ40">
        <v>17</v>
      </c>
      <c r="HR40">
        <v>0</v>
      </c>
      <c r="HS40">
        <v>0</v>
      </c>
      <c r="HT40">
        <v>0</v>
      </c>
      <c r="HU40">
        <v>0</v>
      </c>
      <c r="HV40">
        <v>194</v>
      </c>
      <c r="HW40" s="1">
        <v>3344</v>
      </c>
      <c r="HX40" s="1">
        <v>1200</v>
      </c>
      <c r="HY40" s="1">
        <v>4544</v>
      </c>
      <c r="HZ40" s="1">
        <v>4738</v>
      </c>
      <c r="IA40">
        <v>632</v>
      </c>
      <c r="IB40">
        <v>741</v>
      </c>
      <c r="IC40" s="1">
        <v>92542</v>
      </c>
      <c r="ID40" s="1">
        <v>92542</v>
      </c>
      <c r="IE40" s="1">
        <v>97086</v>
      </c>
      <c r="IF40" s="1">
        <v>11150</v>
      </c>
      <c r="IG40">
        <v>670</v>
      </c>
      <c r="IJ40">
        <v>1</v>
      </c>
      <c r="IK40" s="3">
        <v>2.5000000000000001E-3</v>
      </c>
      <c r="IL40" s="3">
        <v>1E-4</v>
      </c>
      <c r="IM40" s="3">
        <v>0.36649999999999999</v>
      </c>
      <c r="IN40" s="3">
        <v>0</v>
      </c>
      <c r="IO40" s="3">
        <v>0.33250000000000002</v>
      </c>
      <c r="IP40" s="3">
        <v>5.9999999999999995E-4</v>
      </c>
      <c r="IQ40" s="3">
        <v>0.6008</v>
      </c>
      <c r="IR40" s="3">
        <v>3.9100000000000003E-2</v>
      </c>
      <c r="IS40" s="3">
        <v>0.1205</v>
      </c>
      <c r="IT40" s="1">
        <v>16717</v>
      </c>
      <c r="IU40" s="1">
        <v>5319</v>
      </c>
      <c r="IV40" s="1">
        <v>22036</v>
      </c>
      <c r="IW40" s="3">
        <v>0.59179999999999999</v>
      </c>
      <c r="IX40" s="1">
        <v>69000</v>
      </c>
      <c r="IZ40">
        <v>109</v>
      </c>
      <c r="JA40">
        <v>12</v>
      </c>
      <c r="JB40">
        <v>133</v>
      </c>
      <c r="JC40">
        <v>67</v>
      </c>
      <c r="JD40">
        <v>0</v>
      </c>
      <c r="JE40">
        <v>27</v>
      </c>
      <c r="JF40">
        <v>176</v>
      </c>
      <c r="JG40">
        <v>12</v>
      </c>
      <c r="JH40">
        <v>160</v>
      </c>
      <c r="JI40">
        <v>348</v>
      </c>
      <c r="JJ40">
        <v>254</v>
      </c>
      <c r="JK40">
        <v>94</v>
      </c>
      <c r="JL40">
        <v>874</v>
      </c>
      <c r="JM40">
        <v>102</v>
      </c>
      <c r="JN40" s="1">
        <v>2817</v>
      </c>
      <c r="JO40">
        <v>596</v>
      </c>
      <c r="JP40">
        <v>0</v>
      </c>
      <c r="JQ40">
        <v>802</v>
      </c>
      <c r="JR40" s="1">
        <v>1470</v>
      </c>
      <c r="JS40">
        <v>102</v>
      </c>
      <c r="JT40" s="1">
        <v>3619</v>
      </c>
      <c r="JU40" s="1">
        <v>5191</v>
      </c>
      <c r="JV40" s="1">
        <v>3793</v>
      </c>
      <c r="JW40" s="1">
        <v>1398</v>
      </c>
      <c r="JX40">
        <v>14.92</v>
      </c>
      <c r="JY40">
        <v>8.35</v>
      </c>
      <c r="JZ40">
        <v>22.62</v>
      </c>
      <c r="KA40">
        <v>0.28000000000000003</v>
      </c>
      <c r="KB40">
        <v>0.7</v>
      </c>
      <c r="KE40">
        <v>24</v>
      </c>
      <c r="KF40">
        <v>200</v>
      </c>
      <c r="KG40">
        <v>53</v>
      </c>
      <c r="KH40" s="1">
        <v>1245</v>
      </c>
      <c r="KM40" s="1">
        <v>17929</v>
      </c>
      <c r="KN40" s="1">
        <v>13395</v>
      </c>
      <c r="KO40" s="1">
        <v>9455</v>
      </c>
      <c r="KQ40">
        <v>110</v>
      </c>
      <c r="KR40" s="1">
        <v>1051</v>
      </c>
      <c r="KS40">
        <v>2</v>
      </c>
      <c r="KT40">
        <v>18</v>
      </c>
      <c r="KU40">
        <v>18</v>
      </c>
      <c r="KV40">
        <v>53</v>
      </c>
      <c r="KW40" s="1">
        <v>36200</v>
      </c>
      <c r="KY40" s="1">
        <v>4002</v>
      </c>
      <c r="KZ40" s="1">
        <v>26100</v>
      </c>
      <c r="LC40" t="s">
        <v>1230</v>
      </c>
      <c r="LD40" t="s">
        <v>773</v>
      </c>
      <c r="LE40" t="s">
        <v>1220</v>
      </c>
      <c r="LF40" t="s">
        <v>1221</v>
      </c>
      <c r="LG40">
        <v>27839</v>
      </c>
      <c r="LH40">
        <v>97</v>
      </c>
      <c r="LI40" t="s">
        <v>1222</v>
      </c>
      <c r="LJ40" t="s">
        <v>1221</v>
      </c>
      <c r="LK40">
        <v>27839</v>
      </c>
      <c r="LL40">
        <v>97</v>
      </c>
      <c r="LM40" t="s">
        <v>1221</v>
      </c>
      <c r="LN40">
        <v>2525833631</v>
      </c>
      <c r="LO40">
        <v>2525838661</v>
      </c>
      <c r="LP40" s="1">
        <v>28109</v>
      </c>
      <c r="LQ40">
        <v>10</v>
      </c>
      <c r="LS40" s="1">
        <v>12428</v>
      </c>
      <c r="LT40">
        <v>260</v>
      </c>
      <c r="LW40">
        <v>2</v>
      </c>
      <c r="LX40" t="s">
        <v>1231</v>
      </c>
      <c r="LY40">
        <v>0</v>
      </c>
      <c r="LZ40" t="s">
        <v>691</v>
      </c>
      <c r="MA40">
        <v>43.86</v>
      </c>
      <c r="MB40">
        <v>47.26</v>
      </c>
    </row>
    <row r="41" spans="1:340" x14ac:dyDescent="0.25">
      <c r="A41" t="s">
        <v>1232</v>
      </c>
      <c r="B41">
        <v>0</v>
      </c>
      <c r="C41">
        <v>1375</v>
      </c>
      <c r="D41">
        <v>2017</v>
      </c>
      <c r="E41">
        <v>0</v>
      </c>
      <c r="F41" t="s">
        <v>1232</v>
      </c>
      <c r="G41" t="s">
        <v>1233</v>
      </c>
      <c r="H41" t="s">
        <v>668</v>
      </c>
      <c r="I41" t="s">
        <v>669</v>
      </c>
      <c r="J41" t="s">
        <v>670</v>
      </c>
      <c r="K41" t="s">
        <v>671</v>
      </c>
      <c r="L41" t="s">
        <v>672</v>
      </c>
      <c r="M41" t="s">
        <v>673</v>
      </c>
      <c r="N41" s="1">
        <v>127127</v>
      </c>
      <c r="O41" t="s">
        <v>674</v>
      </c>
      <c r="R41">
        <v>103</v>
      </c>
      <c r="S41">
        <v>10</v>
      </c>
      <c r="T41" s="1">
        <v>4174</v>
      </c>
      <c r="U41">
        <v>153</v>
      </c>
      <c r="V41" s="1">
        <v>33591</v>
      </c>
      <c r="W41" s="1">
        <v>2531</v>
      </c>
      <c r="Z41" t="s">
        <v>1234</v>
      </c>
      <c r="AA41" t="s">
        <v>1235</v>
      </c>
      <c r="AB41">
        <v>27546</v>
      </c>
      <c r="AC41">
        <v>1149</v>
      </c>
      <c r="AD41" t="s">
        <v>1236</v>
      </c>
      <c r="AE41" t="s">
        <v>1235</v>
      </c>
      <c r="AF41">
        <v>27546</v>
      </c>
      <c r="AG41">
        <v>2</v>
      </c>
      <c r="AH41" t="s">
        <v>1237</v>
      </c>
      <c r="AJ41" t="s">
        <v>35</v>
      </c>
      <c r="AK41" t="s">
        <v>1238</v>
      </c>
      <c r="AL41" t="s">
        <v>1239</v>
      </c>
      <c r="AM41" t="s">
        <v>1240</v>
      </c>
      <c r="AN41" t="s">
        <v>1241</v>
      </c>
      <c r="AO41" t="s">
        <v>1242</v>
      </c>
      <c r="AP41" t="s">
        <v>1239</v>
      </c>
      <c r="AQ41" t="s">
        <v>36</v>
      </c>
      <c r="AR41" t="s">
        <v>1240</v>
      </c>
      <c r="AS41" t="s">
        <v>1241</v>
      </c>
      <c r="AT41" t="s">
        <v>1242</v>
      </c>
      <c r="AU41" t="s">
        <v>1243</v>
      </c>
      <c r="BC41">
        <v>1</v>
      </c>
      <c r="BD41">
        <v>6</v>
      </c>
      <c r="BE41">
        <v>0</v>
      </c>
      <c r="BF41">
        <v>1</v>
      </c>
      <c r="BG41">
        <v>8</v>
      </c>
      <c r="BI41" s="1">
        <v>11345</v>
      </c>
      <c r="BJ41">
        <v>2</v>
      </c>
      <c r="BK41">
        <v>3</v>
      </c>
      <c r="BL41">
        <v>5</v>
      </c>
      <c r="BM41">
        <v>11</v>
      </c>
      <c r="BN41">
        <v>16</v>
      </c>
      <c r="BO41" s="3">
        <v>0.125</v>
      </c>
      <c r="BP41">
        <v>501</v>
      </c>
      <c r="BQ41" s="4">
        <v>74559</v>
      </c>
      <c r="BT41">
        <v>0</v>
      </c>
      <c r="BU41" s="4">
        <v>25720</v>
      </c>
      <c r="BV41" s="4">
        <v>53364</v>
      </c>
      <c r="BW41" s="4">
        <v>39542</v>
      </c>
      <c r="BY41" s="4">
        <v>38763</v>
      </c>
      <c r="BZ41" s="4">
        <v>38763</v>
      </c>
      <c r="CA41" s="4">
        <v>38763</v>
      </c>
      <c r="CG41" s="4">
        <v>38763</v>
      </c>
      <c r="CH41" s="4">
        <v>38763</v>
      </c>
      <c r="CI41" s="4">
        <v>38763</v>
      </c>
      <c r="CK41" s="4">
        <v>35487</v>
      </c>
      <c r="CL41" s="4">
        <v>35487</v>
      </c>
      <c r="CM41" s="1">
        <v>35487</v>
      </c>
      <c r="CV41" s="4">
        <v>38763</v>
      </c>
      <c r="CW41" s="4">
        <v>38763</v>
      </c>
      <c r="CX41" s="4">
        <v>38763</v>
      </c>
      <c r="DO41" s="4">
        <v>29573</v>
      </c>
      <c r="DP41" s="4">
        <v>29573</v>
      </c>
      <c r="DQ41" s="4">
        <v>29573</v>
      </c>
      <c r="DS41" s="4">
        <v>43692</v>
      </c>
      <c r="DT41" s="4">
        <v>43692</v>
      </c>
      <c r="DU41" s="4">
        <v>43692</v>
      </c>
      <c r="DV41" s="4">
        <v>477552</v>
      </c>
      <c r="DW41" s="4">
        <v>971654</v>
      </c>
      <c r="DX41" s="4">
        <v>1449206</v>
      </c>
      <c r="DY41" s="4">
        <v>166317</v>
      </c>
      <c r="DZ41" s="4">
        <v>0</v>
      </c>
      <c r="EA41" s="4">
        <v>166317</v>
      </c>
      <c r="EB41" s="4">
        <v>0</v>
      </c>
      <c r="EC41" s="4">
        <v>0</v>
      </c>
      <c r="ED41" s="4">
        <v>0</v>
      </c>
      <c r="EE41" s="4">
        <v>26464</v>
      </c>
      <c r="EF41" s="4">
        <v>1641987</v>
      </c>
      <c r="EG41" s="4">
        <v>752729</v>
      </c>
      <c r="EH41" s="4">
        <v>272271</v>
      </c>
      <c r="EI41" s="4">
        <v>1025000</v>
      </c>
      <c r="EJ41" s="4">
        <v>140777</v>
      </c>
      <c r="EK41" s="4">
        <v>35251</v>
      </c>
      <c r="EL41" s="4">
        <v>7074</v>
      </c>
      <c r="EM41" s="4">
        <v>183102</v>
      </c>
      <c r="EN41" s="4">
        <v>169195</v>
      </c>
      <c r="EO41" s="4">
        <v>1377297</v>
      </c>
      <c r="EP41" s="4">
        <v>264690</v>
      </c>
      <c r="EQ41" s="3">
        <v>0.16120000000000001</v>
      </c>
      <c r="ER41" s="4">
        <v>0</v>
      </c>
      <c r="ES41" s="4">
        <v>0</v>
      </c>
      <c r="ET41" s="4">
        <v>0</v>
      </c>
      <c r="EU41" s="4">
        <v>0</v>
      </c>
      <c r="EV41" s="4">
        <v>0</v>
      </c>
      <c r="EW41" s="4">
        <v>0</v>
      </c>
      <c r="EX41" s="1">
        <v>20477</v>
      </c>
      <c r="EY41" s="1">
        <v>285094</v>
      </c>
      <c r="EZ41" s="1">
        <v>50589</v>
      </c>
      <c r="FA41" s="1">
        <v>4764</v>
      </c>
      <c r="FB41" s="1">
        <v>54645</v>
      </c>
      <c r="FC41" s="1">
        <v>42922</v>
      </c>
      <c r="FD41" s="1">
        <v>1034</v>
      </c>
      <c r="FE41" s="1">
        <v>28239</v>
      </c>
      <c r="FF41" s="1">
        <v>93511</v>
      </c>
      <c r="FG41" s="1">
        <v>5798</v>
      </c>
      <c r="FH41" s="1">
        <v>82884</v>
      </c>
      <c r="FI41" s="1">
        <v>182193</v>
      </c>
      <c r="FJ41">
        <v>650</v>
      </c>
      <c r="FK41">
        <v>123</v>
      </c>
      <c r="FM41" s="1">
        <v>182193</v>
      </c>
      <c r="FN41" s="1">
        <v>5106</v>
      </c>
      <c r="FO41" s="1">
        <v>9962</v>
      </c>
      <c r="FP41">
        <v>58</v>
      </c>
      <c r="FQ41">
        <v>0</v>
      </c>
      <c r="FR41">
        <v>88</v>
      </c>
      <c r="FS41">
        <v>88</v>
      </c>
      <c r="FT41" s="1">
        <v>44141</v>
      </c>
      <c r="FU41" s="1">
        <v>3505</v>
      </c>
      <c r="FV41">
        <v>0</v>
      </c>
      <c r="FW41">
        <v>0</v>
      </c>
      <c r="FX41" s="1">
        <v>8544</v>
      </c>
      <c r="FY41" s="1">
        <v>1573</v>
      </c>
      <c r="FZ41">
        <v>322</v>
      </c>
      <c r="GA41">
        <v>0</v>
      </c>
      <c r="GB41" s="1">
        <v>26436</v>
      </c>
      <c r="GC41" s="1">
        <v>1747</v>
      </c>
      <c r="GD41">
        <v>278</v>
      </c>
      <c r="GJ41">
        <v>211</v>
      </c>
      <c r="GK41">
        <v>152</v>
      </c>
      <c r="GL41">
        <v>5</v>
      </c>
      <c r="GM41">
        <v>0</v>
      </c>
      <c r="GN41" s="1">
        <v>79332</v>
      </c>
      <c r="GO41" s="1">
        <v>6977</v>
      </c>
      <c r="GP41">
        <v>605</v>
      </c>
      <c r="GQ41">
        <v>0</v>
      </c>
      <c r="GR41">
        <v>23</v>
      </c>
      <c r="GT41" s="1">
        <v>55477</v>
      </c>
      <c r="GU41" s="1">
        <v>5307</v>
      </c>
      <c r="GV41" s="1">
        <v>97336</v>
      </c>
      <c r="GW41" s="1">
        <v>19770</v>
      </c>
      <c r="GX41">
        <v>565</v>
      </c>
      <c r="GY41" s="1">
        <v>21140</v>
      </c>
      <c r="GZ41" s="1">
        <v>75247</v>
      </c>
      <c r="HA41" s="1">
        <v>5872</v>
      </c>
      <c r="HB41" s="1">
        <v>118476</v>
      </c>
      <c r="HC41" s="1">
        <v>199595</v>
      </c>
      <c r="HD41">
        <v>723</v>
      </c>
      <c r="HE41" s="1">
        <v>201431</v>
      </c>
      <c r="HF41" s="1">
        <v>7584</v>
      </c>
      <c r="HG41" s="1">
        <v>30311</v>
      </c>
      <c r="HH41" s="1">
        <v>1113</v>
      </c>
      <c r="HI41">
        <v>343</v>
      </c>
      <c r="HJ41" s="1">
        <v>38238</v>
      </c>
      <c r="HK41" s="1">
        <v>239669</v>
      </c>
      <c r="HL41">
        <v>143</v>
      </c>
      <c r="HM41" s="1">
        <v>12133</v>
      </c>
      <c r="HN41" s="1">
        <v>12276</v>
      </c>
      <c r="HO41">
        <v>225</v>
      </c>
      <c r="HP41" s="1">
        <v>5226</v>
      </c>
      <c r="HQ41" s="1">
        <v>5451</v>
      </c>
      <c r="HR41">
        <v>0</v>
      </c>
      <c r="HS41">
        <v>42</v>
      </c>
      <c r="HT41">
        <v>42</v>
      </c>
      <c r="HU41">
        <v>168</v>
      </c>
      <c r="HV41" s="1">
        <v>17937</v>
      </c>
      <c r="HW41" s="1">
        <v>5743</v>
      </c>
      <c r="HX41" s="1">
        <v>72742</v>
      </c>
      <c r="HY41" s="1">
        <v>78485</v>
      </c>
      <c r="HZ41" s="1">
        <v>96422</v>
      </c>
      <c r="IA41" s="1">
        <v>13035</v>
      </c>
      <c r="IB41" s="1">
        <v>43388</v>
      </c>
      <c r="IC41" s="1">
        <v>257606</v>
      </c>
      <c r="ID41" s="1">
        <v>257606</v>
      </c>
      <c r="IE41" s="1">
        <v>336091</v>
      </c>
      <c r="IF41" s="1">
        <v>132097</v>
      </c>
      <c r="IG41">
        <v>878</v>
      </c>
      <c r="IJ41">
        <v>3</v>
      </c>
      <c r="IK41" s="3">
        <v>3.7100000000000001E-2</v>
      </c>
      <c r="IL41" s="3">
        <v>4.0000000000000002E-4</v>
      </c>
      <c r="IM41" s="3">
        <v>0.3049</v>
      </c>
      <c r="IN41" s="3">
        <v>0</v>
      </c>
      <c r="IO41" s="3">
        <v>0.27829999999999999</v>
      </c>
      <c r="IP41" s="3">
        <v>2.9999999999999997E-4</v>
      </c>
      <c r="IQ41" s="3">
        <v>0.6391</v>
      </c>
      <c r="IR41" s="3">
        <v>4.24E-2</v>
      </c>
      <c r="IS41" s="3">
        <v>0.51280000000000003</v>
      </c>
      <c r="IT41" s="1">
        <v>49782</v>
      </c>
      <c r="IU41" s="1">
        <v>12283</v>
      </c>
      <c r="IV41" s="1">
        <v>62065</v>
      </c>
      <c r="IW41" s="3">
        <v>0.48820000000000002</v>
      </c>
      <c r="IX41" s="1">
        <v>255162</v>
      </c>
      <c r="IZ41">
        <v>131</v>
      </c>
      <c r="JA41">
        <v>40</v>
      </c>
      <c r="JB41">
        <v>423</v>
      </c>
      <c r="JC41">
        <v>2</v>
      </c>
      <c r="JD41">
        <v>0</v>
      </c>
      <c r="JE41">
        <v>142</v>
      </c>
      <c r="JF41">
        <v>133</v>
      </c>
      <c r="JG41">
        <v>40</v>
      </c>
      <c r="JH41">
        <v>565</v>
      </c>
      <c r="JI41">
        <v>738</v>
      </c>
      <c r="JJ41">
        <v>594</v>
      </c>
      <c r="JK41">
        <v>144</v>
      </c>
      <c r="JL41">
        <v>798</v>
      </c>
      <c r="JM41">
        <v>276</v>
      </c>
      <c r="JN41" s="1">
        <v>11252</v>
      </c>
      <c r="JO41">
        <v>95</v>
      </c>
      <c r="JP41">
        <v>0</v>
      </c>
      <c r="JQ41" s="1">
        <v>3394</v>
      </c>
      <c r="JR41">
        <v>893</v>
      </c>
      <c r="JS41">
        <v>276</v>
      </c>
      <c r="JT41" s="1">
        <v>14646</v>
      </c>
      <c r="JU41" s="1">
        <v>15815</v>
      </c>
      <c r="JV41" s="1">
        <v>12326</v>
      </c>
      <c r="JW41" s="1">
        <v>3489</v>
      </c>
      <c r="JX41">
        <v>21.43</v>
      </c>
      <c r="JY41">
        <v>6.71</v>
      </c>
      <c r="JZ41">
        <v>25.92</v>
      </c>
      <c r="KA41">
        <v>0.06</v>
      </c>
      <c r="KB41">
        <v>0.93</v>
      </c>
      <c r="KC41">
        <v>0</v>
      </c>
      <c r="KD41">
        <v>0</v>
      </c>
      <c r="KE41">
        <v>9</v>
      </c>
      <c r="KF41">
        <v>22</v>
      </c>
      <c r="KK41">
        <v>3</v>
      </c>
      <c r="KL41">
        <v>194</v>
      </c>
      <c r="KM41" s="1">
        <v>5572</v>
      </c>
      <c r="KN41" s="1">
        <v>3264</v>
      </c>
      <c r="KO41" s="1">
        <v>2088</v>
      </c>
      <c r="KQ41">
        <v>834</v>
      </c>
      <c r="KR41" s="1">
        <v>3607</v>
      </c>
      <c r="KS41" s="1">
        <v>9417</v>
      </c>
      <c r="KT41" s="1">
        <v>8754</v>
      </c>
      <c r="KU41">
        <v>29</v>
      </c>
      <c r="KV41">
        <v>99</v>
      </c>
      <c r="KW41" s="1">
        <v>32276</v>
      </c>
      <c r="KY41" s="1">
        <v>104535</v>
      </c>
      <c r="LC41" t="s">
        <v>1237</v>
      </c>
      <c r="LD41" t="s">
        <v>709</v>
      </c>
      <c r="LE41" t="s">
        <v>1234</v>
      </c>
      <c r="LF41" t="s">
        <v>1235</v>
      </c>
      <c r="LG41">
        <v>27546</v>
      </c>
      <c r="LH41">
        <v>1149</v>
      </c>
      <c r="LI41" t="s">
        <v>1236</v>
      </c>
      <c r="LJ41" t="s">
        <v>1235</v>
      </c>
      <c r="LK41">
        <v>27546</v>
      </c>
      <c r="LL41">
        <v>1149</v>
      </c>
      <c r="LM41" t="s">
        <v>1238</v>
      </c>
      <c r="LN41">
        <v>9108933446</v>
      </c>
      <c r="LO41">
        <v>9108933001</v>
      </c>
      <c r="LP41" s="1">
        <v>32745</v>
      </c>
      <c r="LQ41">
        <v>26.8</v>
      </c>
      <c r="LS41" s="1">
        <v>11345</v>
      </c>
      <c r="LT41">
        <v>317</v>
      </c>
      <c r="LW41">
        <v>2</v>
      </c>
      <c r="LX41" t="s">
        <v>1244</v>
      </c>
      <c r="LY41">
        <v>0</v>
      </c>
      <c r="LZ41" t="s">
        <v>691</v>
      </c>
      <c r="MA41">
        <v>150</v>
      </c>
      <c r="MB41">
        <v>180</v>
      </c>
    </row>
    <row r="42" spans="1:340" x14ac:dyDescent="0.25">
      <c r="A42" t="s">
        <v>1245</v>
      </c>
      <c r="B42">
        <v>0</v>
      </c>
      <c r="C42">
        <v>1375</v>
      </c>
      <c r="D42">
        <v>2017</v>
      </c>
      <c r="E42">
        <v>0</v>
      </c>
      <c r="F42" t="s">
        <v>1245</v>
      </c>
      <c r="G42" t="s">
        <v>1246</v>
      </c>
      <c r="H42" t="s">
        <v>668</v>
      </c>
      <c r="I42" t="s">
        <v>899</v>
      </c>
      <c r="J42" t="s">
        <v>870</v>
      </c>
      <c r="K42" t="s">
        <v>671</v>
      </c>
      <c r="L42" t="s">
        <v>900</v>
      </c>
      <c r="M42" t="s">
        <v>673</v>
      </c>
      <c r="N42" s="1">
        <v>5500</v>
      </c>
      <c r="O42" t="s">
        <v>806</v>
      </c>
      <c r="P42">
        <v>63</v>
      </c>
      <c r="Q42">
        <v>45</v>
      </c>
      <c r="R42">
        <v>7</v>
      </c>
      <c r="S42">
        <v>3</v>
      </c>
      <c r="T42">
        <v>216</v>
      </c>
      <c r="U42">
        <v>54</v>
      </c>
      <c r="V42" s="1">
        <v>1053</v>
      </c>
      <c r="W42">
        <v>243</v>
      </c>
      <c r="Z42" t="s">
        <v>1247</v>
      </c>
      <c r="AA42" t="s">
        <v>1248</v>
      </c>
      <c r="AB42">
        <v>27856</v>
      </c>
      <c r="AD42" t="s">
        <v>1247</v>
      </c>
      <c r="AE42" t="s">
        <v>1248</v>
      </c>
      <c r="AF42">
        <v>27856</v>
      </c>
      <c r="AG42">
        <v>2</v>
      </c>
      <c r="AH42" t="s">
        <v>1249</v>
      </c>
      <c r="AJ42" t="s">
        <v>904</v>
      </c>
      <c r="AK42" t="s">
        <v>795</v>
      </c>
      <c r="AL42" t="s">
        <v>1250</v>
      </c>
      <c r="AM42" t="s">
        <v>1251</v>
      </c>
      <c r="AN42" t="s">
        <v>1252</v>
      </c>
      <c r="AO42" t="s">
        <v>1253</v>
      </c>
      <c r="AP42" t="s">
        <v>1250</v>
      </c>
      <c r="AQ42" t="s">
        <v>36</v>
      </c>
      <c r="AR42" t="s">
        <v>1251</v>
      </c>
      <c r="AS42" t="s">
        <v>1252</v>
      </c>
      <c r="AT42" t="s">
        <v>1253</v>
      </c>
      <c r="AU42" t="s">
        <v>1254</v>
      </c>
      <c r="BC42">
        <v>1</v>
      </c>
      <c r="BD42">
        <v>0</v>
      </c>
      <c r="BE42">
        <v>0</v>
      </c>
      <c r="BF42">
        <v>0</v>
      </c>
      <c r="BG42">
        <v>1</v>
      </c>
      <c r="BI42" s="1">
        <v>2465</v>
      </c>
      <c r="BJ42">
        <v>1</v>
      </c>
      <c r="BK42">
        <v>0</v>
      </c>
      <c r="BL42">
        <v>1</v>
      </c>
      <c r="BM42">
        <v>3.25</v>
      </c>
      <c r="BN42">
        <v>4.25</v>
      </c>
      <c r="BO42" s="3">
        <v>0.23530000000000001</v>
      </c>
      <c r="BP42">
        <v>108</v>
      </c>
      <c r="BQ42" s="4">
        <v>44885</v>
      </c>
      <c r="DL42" s="4">
        <v>29227</v>
      </c>
      <c r="DO42" s="4">
        <v>10</v>
      </c>
      <c r="DP42" s="4">
        <v>12</v>
      </c>
      <c r="DV42" s="4">
        <v>182824</v>
      </c>
      <c r="DW42" s="4">
        <v>14000</v>
      </c>
      <c r="DX42" s="4">
        <v>196824</v>
      </c>
      <c r="DY42" s="4">
        <v>3855</v>
      </c>
      <c r="DZ42" s="4">
        <v>0</v>
      </c>
      <c r="EA42" s="4">
        <v>3855</v>
      </c>
      <c r="EB42" s="4">
        <v>0</v>
      </c>
      <c r="EC42" s="4">
        <v>0</v>
      </c>
      <c r="ED42" s="4">
        <v>0</v>
      </c>
      <c r="EE42" s="4">
        <v>0</v>
      </c>
      <c r="EF42" s="4">
        <v>200679</v>
      </c>
      <c r="EG42" s="4">
        <v>112831</v>
      </c>
      <c r="EH42" s="4">
        <v>32673</v>
      </c>
      <c r="EI42" s="4">
        <v>145504</v>
      </c>
      <c r="EJ42" s="4">
        <v>8209</v>
      </c>
      <c r="EK42" s="4">
        <v>3522</v>
      </c>
      <c r="EL42" s="4">
        <v>3855</v>
      </c>
      <c r="EM42" s="4">
        <v>15586</v>
      </c>
      <c r="EN42" s="4">
        <v>39320</v>
      </c>
      <c r="EO42" s="4">
        <v>200410</v>
      </c>
      <c r="EP42" s="4">
        <v>269</v>
      </c>
      <c r="EQ42" s="3">
        <v>1.2999999999999999E-3</v>
      </c>
      <c r="ER42" s="4">
        <v>0</v>
      </c>
      <c r="ES42" s="4">
        <v>0</v>
      </c>
      <c r="ET42" s="4">
        <v>0</v>
      </c>
      <c r="EU42" s="4">
        <v>0</v>
      </c>
      <c r="EV42" s="4">
        <v>0</v>
      </c>
      <c r="EW42" s="4">
        <v>0</v>
      </c>
      <c r="EX42" s="1">
        <v>5339</v>
      </c>
      <c r="EY42" s="1">
        <v>79273</v>
      </c>
      <c r="EZ42" s="1">
        <v>7092</v>
      </c>
      <c r="FA42">
        <v>918</v>
      </c>
      <c r="FB42" s="1">
        <v>6694</v>
      </c>
      <c r="FC42" s="1">
        <v>2813</v>
      </c>
      <c r="FD42">
        <v>64</v>
      </c>
      <c r="FE42" s="1">
        <v>1641</v>
      </c>
      <c r="FF42" s="1">
        <v>9905</v>
      </c>
      <c r="FG42">
        <v>982</v>
      </c>
      <c r="FH42" s="1">
        <v>8335</v>
      </c>
      <c r="FI42" s="1">
        <v>19222</v>
      </c>
      <c r="FJ42">
        <v>6</v>
      </c>
      <c r="FK42">
        <v>28</v>
      </c>
      <c r="FM42" s="1">
        <v>19222</v>
      </c>
      <c r="FN42">
        <v>352</v>
      </c>
      <c r="FO42" s="1">
        <v>1482</v>
      </c>
      <c r="FP42">
        <v>11</v>
      </c>
      <c r="FQ42">
        <v>-1</v>
      </c>
      <c r="FR42">
        <v>88</v>
      </c>
      <c r="FS42">
        <v>87</v>
      </c>
      <c r="FT42" s="1">
        <v>44141</v>
      </c>
      <c r="FU42" s="1">
        <v>3505</v>
      </c>
      <c r="FV42">
        <v>0</v>
      </c>
      <c r="FW42">
        <v>0</v>
      </c>
      <c r="FX42" s="1">
        <v>8544</v>
      </c>
      <c r="FY42" s="1">
        <v>1573</v>
      </c>
      <c r="FZ42">
        <v>322</v>
      </c>
      <c r="GA42">
        <v>0</v>
      </c>
      <c r="GE42">
        <v>0</v>
      </c>
      <c r="GJ42">
        <v>0</v>
      </c>
      <c r="GK42">
        <v>0</v>
      </c>
      <c r="GL42">
        <v>0</v>
      </c>
      <c r="GM42">
        <v>0</v>
      </c>
      <c r="GN42" s="1">
        <v>52685</v>
      </c>
      <c r="GO42" s="1">
        <v>5078</v>
      </c>
      <c r="GP42">
        <v>322</v>
      </c>
      <c r="GQ42">
        <v>0</v>
      </c>
      <c r="GR42">
        <v>10</v>
      </c>
      <c r="GT42" s="1">
        <v>10074</v>
      </c>
      <c r="GU42">
        <v>631</v>
      </c>
      <c r="GV42" s="1">
        <v>10689</v>
      </c>
      <c r="GW42">
        <v>745</v>
      </c>
      <c r="GX42">
        <v>22</v>
      </c>
      <c r="GY42" s="1">
        <v>2710</v>
      </c>
      <c r="GZ42" s="1">
        <v>10819</v>
      </c>
      <c r="HA42">
        <v>653</v>
      </c>
      <c r="HB42" s="1">
        <v>13399</v>
      </c>
      <c r="HC42" s="1">
        <v>24871</v>
      </c>
      <c r="HD42">
        <v>300</v>
      </c>
      <c r="HE42" s="1">
        <v>25171</v>
      </c>
      <c r="HF42">
        <v>888</v>
      </c>
      <c r="HG42" s="1">
        <v>5106</v>
      </c>
      <c r="HJ42" s="1">
        <v>5994</v>
      </c>
      <c r="HK42" s="1">
        <v>31165</v>
      </c>
      <c r="HL42">
        <v>3</v>
      </c>
      <c r="HM42">
        <v>0</v>
      </c>
      <c r="HN42">
        <v>3</v>
      </c>
      <c r="HO42">
        <v>69</v>
      </c>
      <c r="HP42">
        <v>0</v>
      </c>
      <c r="HQ42">
        <v>69</v>
      </c>
      <c r="HR42">
        <v>0</v>
      </c>
      <c r="HS42">
        <v>0</v>
      </c>
      <c r="HT42">
        <v>0</v>
      </c>
      <c r="HU42">
        <v>0</v>
      </c>
      <c r="HV42">
        <v>72</v>
      </c>
      <c r="HW42">
        <v>406</v>
      </c>
      <c r="HY42">
        <v>406</v>
      </c>
      <c r="HZ42">
        <v>478</v>
      </c>
      <c r="IA42">
        <v>957</v>
      </c>
      <c r="IB42" s="1">
        <v>6063</v>
      </c>
      <c r="IC42" s="1">
        <v>31237</v>
      </c>
      <c r="ID42" s="1">
        <v>31237</v>
      </c>
      <c r="IE42" s="1">
        <v>31643</v>
      </c>
      <c r="IF42" s="1">
        <v>13399</v>
      </c>
      <c r="IG42">
        <v>326</v>
      </c>
      <c r="IJ42">
        <v>1</v>
      </c>
      <c r="IK42" s="3">
        <v>2.2800000000000001E-2</v>
      </c>
      <c r="IL42" s="3">
        <v>4.0000000000000002E-4</v>
      </c>
      <c r="IM42" s="3">
        <v>0.73270000000000002</v>
      </c>
      <c r="IN42" s="3">
        <v>0</v>
      </c>
      <c r="IO42" s="3">
        <v>0.66459999999999997</v>
      </c>
      <c r="IP42" s="3">
        <v>1.1000000000000001E-3</v>
      </c>
      <c r="IQ42" s="3">
        <v>0.24249999999999999</v>
      </c>
      <c r="IR42" s="3">
        <v>6.8500000000000005E-2</v>
      </c>
      <c r="IS42" s="3">
        <v>0.4289</v>
      </c>
      <c r="IT42" s="1">
        <v>2599</v>
      </c>
      <c r="IU42">
        <v>377</v>
      </c>
      <c r="IV42" s="1">
        <v>2976</v>
      </c>
      <c r="IW42" s="3">
        <v>0.54110000000000003</v>
      </c>
      <c r="IX42" s="1">
        <v>46149</v>
      </c>
      <c r="IZ42">
        <v>46</v>
      </c>
      <c r="JA42">
        <v>12</v>
      </c>
      <c r="JB42">
        <v>75</v>
      </c>
      <c r="JC42">
        <v>0</v>
      </c>
      <c r="JD42">
        <v>0</v>
      </c>
      <c r="JE42">
        <v>0</v>
      </c>
      <c r="JF42">
        <v>46</v>
      </c>
      <c r="JG42">
        <v>12</v>
      </c>
      <c r="JH42">
        <v>75</v>
      </c>
      <c r="JI42">
        <v>133</v>
      </c>
      <c r="JJ42">
        <v>133</v>
      </c>
      <c r="JK42">
        <v>0</v>
      </c>
      <c r="JL42">
        <v>267</v>
      </c>
      <c r="JM42">
        <v>-1</v>
      </c>
      <c r="JN42">
        <v>910</v>
      </c>
      <c r="JO42">
        <v>-1</v>
      </c>
      <c r="JP42">
        <v>0</v>
      </c>
      <c r="JQ42">
        <v>0</v>
      </c>
      <c r="JR42">
        <v>266</v>
      </c>
      <c r="JS42">
        <v>-1</v>
      </c>
      <c r="JT42">
        <v>910</v>
      </c>
      <c r="JU42" s="1">
        <v>1175</v>
      </c>
      <c r="JV42" s="1">
        <v>1176</v>
      </c>
      <c r="JW42">
        <v>-1</v>
      </c>
      <c r="JX42">
        <v>8.83</v>
      </c>
      <c r="JY42">
        <v>5.78</v>
      </c>
      <c r="JZ42">
        <v>12.13</v>
      </c>
      <c r="KA42">
        <v>0.23</v>
      </c>
      <c r="KB42">
        <v>0.77</v>
      </c>
      <c r="KC42">
        <v>5</v>
      </c>
      <c r="KE42">
        <v>1</v>
      </c>
      <c r="KG42">
        <v>64</v>
      </c>
      <c r="KK42">
        <v>11</v>
      </c>
      <c r="KM42" s="1">
        <v>2523</v>
      </c>
      <c r="KN42" s="1">
        <v>1401</v>
      </c>
      <c r="KO42">
        <v>791</v>
      </c>
      <c r="KQ42" s="1">
        <v>2368</v>
      </c>
      <c r="KS42" s="1">
        <v>3446</v>
      </c>
      <c r="KT42" s="1">
        <v>4900</v>
      </c>
      <c r="KU42">
        <v>4</v>
      </c>
      <c r="KV42">
        <v>25</v>
      </c>
      <c r="KW42" s="1">
        <v>8054</v>
      </c>
      <c r="KY42" s="1">
        <v>39142</v>
      </c>
      <c r="KZ42" s="1">
        <v>5261</v>
      </c>
      <c r="LC42" t="s">
        <v>1249</v>
      </c>
      <c r="LD42" t="s">
        <v>689</v>
      </c>
      <c r="LE42" t="s">
        <v>1247</v>
      </c>
      <c r="LF42" t="s">
        <v>1248</v>
      </c>
      <c r="LG42">
        <v>27856</v>
      </c>
      <c r="LH42">
        <v>1310</v>
      </c>
      <c r="LI42" t="s">
        <v>1247</v>
      </c>
      <c r="LJ42" t="s">
        <v>1248</v>
      </c>
      <c r="LK42">
        <v>27856</v>
      </c>
      <c r="LL42">
        <v>1310</v>
      </c>
      <c r="LM42" t="s">
        <v>795</v>
      </c>
      <c r="LN42">
        <v>2524592106</v>
      </c>
      <c r="LO42">
        <v>2524598926</v>
      </c>
      <c r="LP42" s="1">
        <v>6000</v>
      </c>
      <c r="LQ42">
        <v>2</v>
      </c>
      <c r="LS42" s="1">
        <v>2465</v>
      </c>
      <c r="LT42">
        <v>52</v>
      </c>
      <c r="LW42">
        <v>1</v>
      </c>
      <c r="LX42" t="s">
        <v>1255</v>
      </c>
      <c r="LY42">
        <v>0</v>
      </c>
      <c r="LZ42" t="s">
        <v>691</v>
      </c>
      <c r="MA42">
        <v>2</v>
      </c>
      <c r="MB42">
        <v>16.399999999999999</v>
      </c>
    </row>
    <row r="43" spans="1:340" x14ac:dyDescent="0.25">
      <c r="A43" t="s">
        <v>1256</v>
      </c>
      <c r="B43">
        <v>0</v>
      </c>
      <c r="C43">
        <v>1375</v>
      </c>
      <c r="D43">
        <v>2017</v>
      </c>
      <c r="E43">
        <v>0</v>
      </c>
      <c r="F43" t="s">
        <v>1256</v>
      </c>
      <c r="G43" t="s">
        <v>1257</v>
      </c>
      <c r="H43" t="s">
        <v>668</v>
      </c>
      <c r="I43" t="s">
        <v>669</v>
      </c>
      <c r="J43" t="s">
        <v>670</v>
      </c>
      <c r="K43" t="s">
        <v>671</v>
      </c>
      <c r="L43" t="s">
        <v>672</v>
      </c>
      <c r="M43" t="s">
        <v>673</v>
      </c>
      <c r="N43" s="1">
        <v>60631</v>
      </c>
      <c r="O43" t="s">
        <v>674</v>
      </c>
      <c r="P43">
        <v>455</v>
      </c>
      <c r="Q43">
        <v>92</v>
      </c>
      <c r="R43">
        <v>119</v>
      </c>
      <c r="S43">
        <v>39</v>
      </c>
      <c r="T43" s="1">
        <v>3829</v>
      </c>
      <c r="U43" s="1">
        <v>1513</v>
      </c>
      <c r="V43" s="1">
        <v>23506</v>
      </c>
      <c r="W43" s="1">
        <v>2130</v>
      </c>
      <c r="Z43" t="s">
        <v>1258</v>
      </c>
      <c r="AA43" t="s">
        <v>1259</v>
      </c>
      <c r="AB43">
        <v>28786</v>
      </c>
      <c r="AC43">
        <v>3197</v>
      </c>
      <c r="AD43" t="s">
        <v>1258</v>
      </c>
      <c r="AE43" t="s">
        <v>1259</v>
      </c>
      <c r="AF43">
        <v>28786</v>
      </c>
      <c r="AG43">
        <v>3</v>
      </c>
      <c r="AH43" t="s">
        <v>1260</v>
      </c>
      <c r="AJ43" t="s">
        <v>35</v>
      </c>
      <c r="AK43" t="s">
        <v>1261</v>
      </c>
      <c r="AL43" t="s">
        <v>1262</v>
      </c>
      <c r="AM43" t="s">
        <v>1263</v>
      </c>
      <c r="AN43" t="s">
        <v>1264</v>
      </c>
      <c r="AO43" t="s">
        <v>1265</v>
      </c>
      <c r="AP43" t="s">
        <v>1262</v>
      </c>
      <c r="AQ43" t="s">
        <v>36</v>
      </c>
      <c r="AR43" t="s">
        <v>1263</v>
      </c>
      <c r="AS43" t="s">
        <v>1264</v>
      </c>
      <c r="AT43" t="s">
        <v>1265</v>
      </c>
      <c r="AU43" t="s">
        <v>1266</v>
      </c>
      <c r="BC43">
        <v>1</v>
      </c>
      <c r="BD43">
        <v>3</v>
      </c>
      <c r="BE43">
        <v>0</v>
      </c>
      <c r="BF43">
        <v>1</v>
      </c>
      <c r="BG43">
        <v>5</v>
      </c>
      <c r="BI43" s="1">
        <v>7022</v>
      </c>
      <c r="BJ43">
        <v>5</v>
      </c>
      <c r="BK43">
        <v>2</v>
      </c>
      <c r="BL43">
        <v>7</v>
      </c>
      <c r="BM43">
        <v>10</v>
      </c>
      <c r="BN43">
        <v>17</v>
      </c>
      <c r="BO43" s="3">
        <v>0.29409999999999997</v>
      </c>
      <c r="BP43" s="1">
        <v>2300</v>
      </c>
      <c r="BQ43" s="4">
        <v>73288</v>
      </c>
      <c r="BT43" s="1">
        <v>48336</v>
      </c>
      <c r="BV43" s="4">
        <v>42194</v>
      </c>
      <c r="BZ43" s="4">
        <v>42194</v>
      </c>
      <c r="CD43" s="4">
        <v>58392</v>
      </c>
      <c r="CH43" s="4">
        <v>32379</v>
      </c>
      <c r="CL43" s="4">
        <v>34339</v>
      </c>
      <c r="CP43" s="4">
        <v>50541</v>
      </c>
      <c r="CS43" s="4">
        <v>34907</v>
      </c>
      <c r="CW43" s="4">
        <v>38256</v>
      </c>
      <c r="DA43" s="4">
        <v>28289</v>
      </c>
      <c r="DE43" s="4">
        <v>31324</v>
      </c>
      <c r="DL43" s="4">
        <v>34339</v>
      </c>
      <c r="DP43" s="4">
        <v>28334</v>
      </c>
      <c r="DV43" s="4">
        <v>1819</v>
      </c>
      <c r="DW43" s="4">
        <v>1217343</v>
      </c>
      <c r="DX43" s="4">
        <v>1219162</v>
      </c>
      <c r="DY43" s="4">
        <v>105804</v>
      </c>
      <c r="DZ43" s="4">
        <v>0</v>
      </c>
      <c r="EA43" s="4">
        <v>105804</v>
      </c>
      <c r="EB43" s="4">
        <v>0</v>
      </c>
      <c r="EC43" s="4">
        <v>48091</v>
      </c>
      <c r="ED43" s="4">
        <v>48091</v>
      </c>
      <c r="EE43" s="4">
        <v>0</v>
      </c>
      <c r="EF43" s="4">
        <v>1373057</v>
      </c>
      <c r="EG43" s="4">
        <v>715832</v>
      </c>
      <c r="EH43" s="4">
        <v>301395</v>
      </c>
      <c r="EI43" s="4">
        <v>1017227</v>
      </c>
      <c r="EJ43" s="4">
        <v>63531</v>
      </c>
      <c r="EK43" s="4">
        <v>33859</v>
      </c>
      <c r="EL43" s="4">
        <v>15261</v>
      </c>
      <c r="EM43" s="4">
        <v>112651</v>
      </c>
      <c r="EN43" s="4">
        <v>193495</v>
      </c>
      <c r="EO43" s="4">
        <v>1323373</v>
      </c>
      <c r="EP43" s="4">
        <v>49684</v>
      </c>
      <c r="EQ43" s="3">
        <v>3.6200000000000003E-2</v>
      </c>
      <c r="ER43" s="4">
        <v>0</v>
      </c>
      <c r="ES43" s="4">
        <v>0</v>
      </c>
      <c r="ET43" s="4">
        <v>0</v>
      </c>
      <c r="EU43" s="4">
        <v>5046</v>
      </c>
      <c r="EV43" s="4">
        <v>5046</v>
      </c>
      <c r="EW43" s="4">
        <v>5046</v>
      </c>
      <c r="EX43" s="1">
        <v>36016</v>
      </c>
      <c r="EY43" s="1">
        <v>258356</v>
      </c>
      <c r="EZ43" s="1">
        <v>43802</v>
      </c>
      <c r="FA43" s="1">
        <v>4348</v>
      </c>
      <c r="FB43" s="1">
        <v>24815</v>
      </c>
      <c r="FC43" s="1">
        <v>47395</v>
      </c>
      <c r="FD43">
        <v>9</v>
      </c>
      <c r="FE43" s="1">
        <v>9917</v>
      </c>
      <c r="FF43" s="1">
        <v>91197</v>
      </c>
      <c r="FG43" s="1">
        <v>4357</v>
      </c>
      <c r="FH43" s="1">
        <v>34732</v>
      </c>
      <c r="FI43" s="1">
        <v>130286</v>
      </c>
      <c r="FJ43">
        <v>153</v>
      </c>
      <c r="FK43">
        <v>227</v>
      </c>
      <c r="FM43" s="1">
        <v>130286</v>
      </c>
      <c r="FN43" s="1">
        <v>8498</v>
      </c>
      <c r="FO43" s="1">
        <v>6855</v>
      </c>
      <c r="FP43">
        <v>209</v>
      </c>
      <c r="FQ43">
        <v>7</v>
      </c>
      <c r="FR43">
        <v>88</v>
      </c>
      <c r="FS43">
        <v>95</v>
      </c>
      <c r="FT43" s="1">
        <v>44141</v>
      </c>
      <c r="FU43" s="1">
        <v>3505</v>
      </c>
      <c r="FV43">
        <v>0</v>
      </c>
      <c r="FW43">
        <v>0</v>
      </c>
      <c r="FX43" s="1">
        <v>8544</v>
      </c>
      <c r="FY43" s="1">
        <v>1573</v>
      </c>
      <c r="FZ43">
        <v>322</v>
      </c>
      <c r="GA43">
        <v>0</v>
      </c>
      <c r="GF43" s="1">
        <v>36593</v>
      </c>
      <c r="GG43" s="1">
        <v>13194</v>
      </c>
      <c r="GH43">
        <v>264</v>
      </c>
      <c r="GI43">
        <v>12</v>
      </c>
      <c r="GJ43">
        <v>150</v>
      </c>
      <c r="GK43" s="1">
        <v>3700</v>
      </c>
      <c r="GL43">
        <v>0</v>
      </c>
      <c r="GM43">
        <v>35</v>
      </c>
      <c r="GN43" s="1">
        <v>89428</v>
      </c>
      <c r="GO43" s="1">
        <v>21972</v>
      </c>
      <c r="GP43">
        <v>586</v>
      </c>
      <c r="GQ43">
        <v>47</v>
      </c>
      <c r="GR43">
        <v>18</v>
      </c>
      <c r="GT43" s="1">
        <v>96856</v>
      </c>
      <c r="GU43" s="1">
        <v>7214</v>
      </c>
      <c r="GV43" s="1">
        <v>57588</v>
      </c>
      <c r="GW43" s="1">
        <v>38488</v>
      </c>
      <c r="GX43">
        <v>176</v>
      </c>
      <c r="GY43" s="1">
        <v>11071</v>
      </c>
      <c r="GZ43" s="1">
        <v>135344</v>
      </c>
      <c r="HA43" s="1">
        <v>7390</v>
      </c>
      <c r="HB43" s="1">
        <v>68659</v>
      </c>
      <c r="HC43" s="1">
        <v>211393</v>
      </c>
      <c r="HD43" s="1">
        <v>4722</v>
      </c>
      <c r="HE43" s="1">
        <v>216929</v>
      </c>
      <c r="HF43" s="1">
        <v>21289</v>
      </c>
      <c r="HG43" s="1">
        <v>56000</v>
      </c>
      <c r="HH43">
        <v>814</v>
      </c>
      <c r="HI43">
        <v>336</v>
      </c>
      <c r="HJ43" s="1">
        <v>77625</v>
      </c>
      <c r="HK43" s="1">
        <v>294554</v>
      </c>
      <c r="HL43">
        <v>20</v>
      </c>
      <c r="HM43" s="1">
        <v>21521</v>
      </c>
      <c r="HN43" s="1">
        <v>21541</v>
      </c>
      <c r="HO43">
        <v>214</v>
      </c>
      <c r="HP43" s="1">
        <v>11149</v>
      </c>
      <c r="HQ43" s="1">
        <v>11363</v>
      </c>
      <c r="HR43">
        <v>0</v>
      </c>
      <c r="HS43">
        <v>119</v>
      </c>
      <c r="HT43">
        <v>119</v>
      </c>
      <c r="HU43">
        <v>898</v>
      </c>
      <c r="HV43" s="1">
        <v>33921</v>
      </c>
      <c r="HW43" s="1">
        <v>1829</v>
      </c>
      <c r="HX43" s="1">
        <v>11578</v>
      </c>
      <c r="HY43" s="1">
        <v>13407</v>
      </c>
      <c r="HZ43" s="1">
        <v>47328</v>
      </c>
      <c r="IA43" s="1">
        <v>32652</v>
      </c>
      <c r="IB43" s="1">
        <v>88771</v>
      </c>
      <c r="IC43" s="1">
        <v>328475</v>
      </c>
      <c r="ID43" s="1">
        <v>328475</v>
      </c>
      <c r="IE43" s="1">
        <v>341882</v>
      </c>
      <c r="IF43" s="1">
        <v>81577</v>
      </c>
      <c r="IG43" s="1">
        <v>1040</v>
      </c>
      <c r="IJ43">
        <v>2</v>
      </c>
      <c r="IK43" s="3">
        <v>2.8799999999999999E-2</v>
      </c>
      <c r="IL43" s="3">
        <v>8.9999999999999998E-4</v>
      </c>
      <c r="IM43" s="3">
        <v>0.43359999999999999</v>
      </c>
      <c r="IN43" s="3">
        <v>0</v>
      </c>
      <c r="IO43" s="3">
        <v>0.34610000000000002</v>
      </c>
      <c r="IP43" s="3">
        <v>4.0000000000000002E-4</v>
      </c>
      <c r="IQ43" s="3">
        <v>0.50429999999999997</v>
      </c>
      <c r="IR43" s="3">
        <v>0.1179</v>
      </c>
      <c r="IS43" s="3">
        <v>0.24840000000000001</v>
      </c>
      <c r="IT43" s="1">
        <v>33004</v>
      </c>
      <c r="IU43" s="1">
        <v>6102</v>
      </c>
      <c r="IV43" s="1">
        <v>39106</v>
      </c>
      <c r="IW43" s="3">
        <v>0.64500000000000002</v>
      </c>
      <c r="IX43" s="1">
        <v>266104</v>
      </c>
      <c r="IZ43">
        <v>426</v>
      </c>
      <c r="JA43">
        <v>6</v>
      </c>
      <c r="JB43">
        <v>468</v>
      </c>
      <c r="JC43">
        <v>28</v>
      </c>
      <c r="JD43">
        <v>0</v>
      </c>
      <c r="JE43">
        <v>71</v>
      </c>
      <c r="JF43">
        <v>454</v>
      </c>
      <c r="JG43">
        <v>6</v>
      </c>
      <c r="JH43">
        <v>539</v>
      </c>
      <c r="JI43">
        <v>999</v>
      </c>
      <c r="JJ43">
        <v>900</v>
      </c>
      <c r="JK43">
        <v>99</v>
      </c>
      <c r="JL43" s="1">
        <v>4506</v>
      </c>
      <c r="JM43">
        <v>157</v>
      </c>
      <c r="JN43" s="1">
        <v>9882</v>
      </c>
      <c r="JO43">
        <v>484</v>
      </c>
      <c r="JP43">
        <v>0</v>
      </c>
      <c r="JQ43" s="1">
        <v>2116</v>
      </c>
      <c r="JR43" s="1">
        <v>4990</v>
      </c>
      <c r="JS43">
        <v>157</v>
      </c>
      <c r="JT43" s="1">
        <v>11998</v>
      </c>
      <c r="JU43" s="1">
        <v>17145</v>
      </c>
      <c r="JV43" s="1">
        <v>14545</v>
      </c>
      <c r="JW43" s="1">
        <v>2600</v>
      </c>
      <c r="JX43">
        <v>17.16</v>
      </c>
      <c r="JY43">
        <v>10.99</v>
      </c>
      <c r="JZ43">
        <v>22.26</v>
      </c>
      <c r="KA43">
        <v>0.28999999999999998</v>
      </c>
      <c r="KB43">
        <v>0.7</v>
      </c>
      <c r="KC43">
        <v>9</v>
      </c>
      <c r="KD43">
        <v>81</v>
      </c>
      <c r="KE43">
        <v>75</v>
      </c>
      <c r="KF43">
        <v>100</v>
      </c>
      <c r="KG43">
        <v>252</v>
      </c>
      <c r="KH43" s="1">
        <v>2716</v>
      </c>
      <c r="KK43">
        <v>6</v>
      </c>
      <c r="KL43">
        <v>48</v>
      </c>
      <c r="KM43">
        <v>894</v>
      </c>
      <c r="KN43" s="1">
        <v>5000</v>
      </c>
      <c r="KO43">
        <v>104</v>
      </c>
      <c r="KQ43" s="1">
        <v>1552</v>
      </c>
      <c r="KR43" s="1">
        <v>19249</v>
      </c>
      <c r="KS43" s="1">
        <v>26476</v>
      </c>
      <c r="KT43" s="1">
        <v>28146</v>
      </c>
      <c r="KU43">
        <v>28</v>
      </c>
      <c r="KV43">
        <v>38</v>
      </c>
      <c r="KW43" s="1">
        <v>25013</v>
      </c>
      <c r="KY43" s="1">
        <v>117475</v>
      </c>
      <c r="KZ43" s="1">
        <v>3860</v>
      </c>
      <c r="LC43" t="s">
        <v>1260</v>
      </c>
      <c r="LD43" t="s">
        <v>709</v>
      </c>
      <c r="LE43" t="s">
        <v>1258</v>
      </c>
      <c r="LF43" t="s">
        <v>1259</v>
      </c>
      <c r="LG43">
        <v>28786</v>
      </c>
      <c r="LH43">
        <v>3197</v>
      </c>
      <c r="LI43" t="s">
        <v>1258</v>
      </c>
      <c r="LJ43" t="s">
        <v>1259</v>
      </c>
      <c r="LK43">
        <v>28786</v>
      </c>
      <c r="LL43">
        <v>3197</v>
      </c>
      <c r="LM43" t="s">
        <v>1261</v>
      </c>
      <c r="LN43">
        <v>8284525169</v>
      </c>
      <c r="LO43">
        <v>8284526746</v>
      </c>
      <c r="LP43" s="1">
        <v>34328</v>
      </c>
      <c r="LQ43">
        <v>17</v>
      </c>
      <c r="LS43" s="1">
        <v>7022</v>
      </c>
      <c r="LT43">
        <v>208</v>
      </c>
      <c r="LW43">
        <v>2</v>
      </c>
      <c r="LX43" t="s">
        <v>1267</v>
      </c>
      <c r="LY43">
        <v>0</v>
      </c>
      <c r="LZ43" t="s">
        <v>691</v>
      </c>
      <c r="MA43">
        <v>94.62</v>
      </c>
      <c r="MB43">
        <v>94.56</v>
      </c>
    </row>
    <row r="44" spans="1:340" x14ac:dyDescent="0.25">
      <c r="A44" t="s">
        <v>1268</v>
      </c>
      <c r="B44">
        <v>0</v>
      </c>
      <c r="C44">
        <v>1375</v>
      </c>
      <c r="D44">
        <v>2017</v>
      </c>
      <c r="E44">
        <v>0</v>
      </c>
      <c r="F44" t="s">
        <v>1268</v>
      </c>
      <c r="G44" t="s">
        <v>1269</v>
      </c>
      <c r="H44" t="s">
        <v>668</v>
      </c>
      <c r="I44" t="s">
        <v>669</v>
      </c>
      <c r="J44" t="s">
        <v>670</v>
      </c>
      <c r="K44" t="s">
        <v>671</v>
      </c>
      <c r="L44" t="s">
        <v>672</v>
      </c>
      <c r="M44" t="s">
        <v>673</v>
      </c>
      <c r="N44" s="1">
        <v>112511</v>
      </c>
      <c r="O44" t="s">
        <v>674</v>
      </c>
      <c r="P44" s="1">
        <v>1947</v>
      </c>
      <c r="Q44">
        <v>480</v>
      </c>
      <c r="R44">
        <v>131</v>
      </c>
      <c r="S44">
        <v>30</v>
      </c>
      <c r="T44" s="1">
        <v>4454</v>
      </c>
      <c r="U44">
        <v>396</v>
      </c>
      <c r="V44" s="1">
        <v>69251</v>
      </c>
      <c r="W44" s="1">
        <v>12345</v>
      </c>
      <c r="X44" s="1">
        <v>345600</v>
      </c>
      <c r="Y44" s="1">
        <v>131250</v>
      </c>
      <c r="Z44" t="s">
        <v>1270</v>
      </c>
      <c r="AA44" t="s">
        <v>1271</v>
      </c>
      <c r="AB44">
        <v>28739</v>
      </c>
      <c r="AC44">
        <v>4300</v>
      </c>
      <c r="AD44" t="s">
        <v>1270</v>
      </c>
      <c r="AE44" t="s">
        <v>1271</v>
      </c>
      <c r="AF44">
        <v>28739</v>
      </c>
      <c r="AG44">
        <v>3</v>
      </c>
      <c r="AH44" t="s">
        <v>1272</v>
      </c>
      <c r="AJ44" t="s">
        <v>35</v>
      </c>
      <c r="AK44" t="s">
        <v>1273</v>
      </c>
      <c r="AL44" t="s">
        <v>1274</v>
      </c>
      <c r="AM44" t="s">
        <v>1275</v>
      </c>
      <c r="AN44" t="s">
        <v>1276</v>
      </c>
      <c r="AO44" t="s">
        <v>1277</v>
      </c>
      <c r="AP44" t="s">
        <v>1274</v>
      </c>
      <c r="AQ44" t="s">
        <v>36</v>
      </c>
      <c r="AR44" t="s">
        <v>1275</v>
      </c>
      <c r="AS44" t="s">
        <v>1276</v>
      </c>
      <c r="AT44" t="s">
        <v>1278</v>
      </c>
      <c r="AU44" t="s">
        <v>1279</v>
      </c>
      <c r="BC44">
        <v>1</v>
      </c>
      <c r="BD44">
        <v>5</v>
      </c>
      <c r="BE44">
        <v>0</v>
      </c>
      <c r="BF44">
        <v>0</v>
      </c>
      <c r="BG44">
        <v>6</v>
      </c>
      <c r="BI44" s="1">
        <v>13600</v>
      </c>
      <c r="BJ44">
        <v>9.3800000000000008</v>
      </c>
      <c r="BK44">
        <v>0</v>
      </c>
      <c r="BL44">
        <v>9.3800000000000008</v>
      </c>
      <c r="BM44">
        <v>27.02</v>
      </c>
      <c r="BN44">
        <v>36.4</v>
      </c>
      <c r="BO44" s="3">
        <v>0.25769999999999998</v>
      </c>
      <c r="BP44" s="1">
        <v>16771</v>
      </c>
      <c r="BQ44" s="4">
        <v>79567</v>
      </c>
      <c r="BU44" s="4">
        <v>31551</v>
      </c>
      <c r="BV44" s="4">
        <v>42413</v>
      </c>
      <c r="BW44" s="4">
        <v>36769</v>
      </c>
      <c r="BY44" s="4">
        <v>47805</v>
      </c>
      <c r="BZ44" s="4">
        <v>47805</v>
      </c>
      <c r="CA44" s="4">
        <v>47805</v>
      </c>
      <c r="CC44" s="4">
        <v>45862</v>
      </c>
      <c r="CD44" s="4">
        <v>48310</v>
      </c>
      <c r="CE44" s="1">
        <v>47086</v>
      </c>
      <c r="CG44" s="4">
        <v>53343</v>
      </c>
      <c r="CH44" s="4">
        <v>53343</v>
      </c>
      <c r="CI44" s="4">
        <v>53343</v>
      </c>
      <c r="CK44" s="4">
        <v>36036</v>
      </c>
      <c r="CL44" s="4">
        <v>36036</v>
      </c>
      <c r="CM44" s="1">
        <v>36036</v>
      </c>
      <c r="CR44" s="4">
        <v>40010</v>
      </c>
      <c r="CS44" s="4">
        <v>40010</v>
      </c>
      <c r="CT44" s="4">
        <v>40010</v>
      </c>
      <c r="CV44" s="4">
        <v>44193</v>
      </c>
      <c r="CW44" s="4">
        <v>45727</v>
      </c>
      <c r="CX44" s="4">
        <v>44960</v>
      </c>
      <c r="CZ44" s="4">
        <v>30869</v>
      </c>
      <c r="DA44" s="4">
        <v>37889</v>
      </c>
      <c r="DB44" s="4">
        <v>34574</v>
      </c>
      <c r="DH44" s="4">
        <v>42296</v>
      </c>
      <c r="DI44" s="4">
        <v>42296</v>
      </c>
      <c r="DJ44" s="4">
        <v>42296</v>
      </c>
      <c r="DO44" s="4">
        <v>24726</v>
      </c>
      <c r="DP44" s="4">
        <v>29582</v>
      </c>
      <c r="DQ44" s="4">
        <v>27062</v>
      </c>
      <c r="DV44" s="4">
        <v>0</v>
      </c>
      <c r="DW44" s="4">
        <v>2796071</v>
      </c>
      <c r="DX44" s="4">
        <v>2796071</v>
      </c>
      <c r="DY44" s="4">
        <v>139801</v>
      </c>
      <c r="DZ44" s="4">
        <v>0</v>
      </c>
      <c r="EA44" s="4">
        <v>139801</v>
      </c>
      <c r="EB44" s="4">
        <v>1156</v>
      </c>
      <c r="EC44" s="4">
        <v>0</v>
      </c>
      <c r="ED44" s="4">
        <v>1156</v>
      </c>
      <c r="EE44" s="4">
        <v>139759</v>
      </c>
      <c r="EF44" s="4">
        <v>3076787</v>
      </c>
      <c r="EG44" s="4">
        <v>1501663</v>
      </c>
      <c r="EH44" s="4">
        <v>682070</v>
      </c>
      <c r="EI44" s="4">
        <v>2183733</v>
      </c>
      <c r="EJ44" s="4">
        <v>329649</v>
      </c>
      <c r="EK44" s="4">
        <v>99267</v>
      </c>
      <c r="EL44" s="4">
        <v>43466</v>
      </c>
      <c r="EM44" s="4">
        <v>472382</v>
      </c>
      <c r="EN44" s="4">
        <v>284278</v>
      </c>
      <c r="EO44" s="4">
        <v>2940393</v>
      </c>
      <c r="EP44" s="4">
        <v>136394</v>
      </c>
      <c r="EQ44" s="3">
        <v>4.4299999999999999E-2</v>
      </c>
      <c r="ER44" s="4">
        <v>0</v>
      </c>
      <c r="ES44" s="4">
        <v>0</v>
      </c>
      <c r="ET44" s="4">
        <v>0</v>
      </c>
      <c r="EU44" s="4">
        <v>0</v>
      </c>
      <c r="EV44" s="4">
        <v>0</v>
      </c>
      <c r="EW44" s="4">
        <v>0</v>
      </c>
      <c r="EX44" s="1">
        <v>50007</v>
      </c>
      <c r="EY44" s="1">
        <v>400455</v>
      </c>
      <c r="EZ44" s="1">
        <v>92658</v>
      </c>
      <c r="FA44" s="1">
        <v>10641</v>
      </c>
      <c r="FB44" s="1">
        <v>52735</v>
      </c>
      <c r="FC44" s="1">
        <v>71485</v>
      </c>
      <c r="FD44" s="1">
        <v>3617</v>
      </c>
      <c r="FE44" s="1">
        <v>24594</v>
      </c>
      <c r="FF44" s="1">
        <v>164143</v>
      </c>
      <c r="FG44" s="1">
        <v>14258</v>
      </c>
      <c r="FH44" s="1">
        <v>77329</v>
      </c>
      <c r="FI44" s="1">
        <v>255730</v>
      </c>
      <c r="FJ44">
        <v>854</v>
      </c>
      <c r="FK44">
        <v>314</v>
      </c>
      <c r="FM44" s="1">
        <v>255730</v>
      </c>
      <c r="FN44" s="1">
        <v>13663</v>
      </c>
      <c r="FO44" s="1">
        <v>17995</v>
      </c>
      <c r="FP44">
        <v>42</v>
      </c>
      <c r="FQ44">
        <v>9</v>
      </c>
      <c r="FR44">
        <v>88</v>
      </c>
      <c r="FS44">
        <v>97</v>
      </c>
      <c r="FT44" s="1">
        <v>44141</v>
      </c>
      <c r="FU44" s="1">
        <v>3505</v>
      </c>
      <c r="FV44">
        <v>0</v>
      </c>
      <c r="FW44">
        <v>0</v>
      </c>
      <c r="FX44" s="1">
        <v>8544</v>
      </c>
      <c r="FY44" s="1">
        <v>1573</v>
      </c>
      <c r="FZ44">
        <v>322</v>
      </c>
      <c r="GA44">
        <v>0</v>
      </c>
      <c r="GE44">
        <v>0</v>
      </c>
      <c r="GF44" s="1">
        <v>36593</v>
      </c>
      <c r="GG44" s="1">
        <v>13194</v>
      </c>
      <c r="GH44">
        <v>264</v>
      </c>
      <c r="GI44">
        <v>12</v>
      </c>
      <c r="GJ44" s="1">
        <v>2153</v>
      </c>
      <c r="GK44" s="1">
        <v>1386</v>
      </c>
      <c r="GL44">
        <v>0</v>
      </c>
      <c r="GM44">
        <v>73</v>
      </c>
      <c r="GN44" s="1">
        <v>91431</v>
      </c>
      <c r="GO44" s="1">
        <v>19658</v>
      </c>
      <c r="GP44">
        <v>586</v>
      </c>
      <c r="GQ44">
        <v>85</v>
      </c>
      <c r="GR44">
        <v>24</v>
      </c>
      <c r="GT44" s="1">
        <v>241589</v>
      </c>
      <c r="GU44" s="1">
        <v>18989</v>
      </c>
      <c r="GV44" s="1">
        <v>156894</v>
      </c>
      <c r="GW44" s="1">
        <v>96491</v>
      </c>
      <c r="GX44" s="1">
        <v>2888</v>
      </c>
      <c r="GY44" s="1">
        <v>38720</v>
      </c>
      <c r="GZ44" s="1">
        <v>338080</v>
      </c>
      <c r="HA44" s="1">
        <v>21877</v>
      </c>
      <c r="HB44" s="1">
        <v>195614</v>
      </c>
      <c r="HC44" s="1">
        <v>555571</v>
      </c>
      <c r="HD44" s="1">
        <v>3336</v>
      </c>
      <c r="HE44" s="1">
        <v>561050</v>
      </c>
      <c r="HF44" s="1">
        <v>53098</v>
      </c>
      <c r="HG44" s="1">
        <v>200133</v>
      </c>
      <c r="HH44" s="1">
        <v>2143</v>
      </c>
      <c r="HI44">
        <v>357</v>
      </c>
      <c r="HJ44" s="1">
        <v>253588</v>
      </c>
      <c r="HK44" s="1">
        <v>814638</v>
      </c>
      <c r="HL44">
        <v>46</v>
      </c>
      <c r="HM44" s="1">
        <v>57240</v>
      </c>
      <c r="HN44" s="1">
        <v>57286</v>
      </c>
      <c r="HO44">
        <v>508</v>
      </c>
      <c r="HP44" s="1">
        <v>32528</v>
      </c>
      <c r="HQ44" s="1">
        <v>33036</v>
      </c>
      <c r="HR44">
        <v>0</v>
      </c>
      <c r="HS44">
        <v>504</v>
      </c>
      <c r="HT44">
        <v>504</v>
      </c>
      <c r="HU44" s="1">
        <v>1590</v>
      </c>
      <c r="HV44" s="1">
        <v>92416</v>
      </c>
      <c r="HW44" s="1">
        <v>77228</v>
      </c>
      <c r="HX44" s="1">
        <v>72046</v>
      </c>
      <c r="HY44" s="1">
        <v>149274</v>
      </c>
      <c r="HZ44" s="1">
        <v>241690</v>
      </c>
      <c r="IA44" s="1">
        <v>86134</v>
      </c>
      <c r="IB44" s="1">
        <v>286771</v>
      </c>
      <c r="IC44" s="1">
        <v>907054</v>
      </c>
      <c r="ID44" s="1">
        <v>907054</v>
      </c>
      <c r="IE44" s="1">
        <v>1056328</v>
      </c>
      <c r="IF44" s="1">
        <v>271765</v>
      </c>
      <c r="IG44">
        <v>504</v>
      </c>
      <c r="IJ44">
        <v>1</v>
      </c>
      <c r="IK44" s="3">
        <v>4.6399999999999997E-2</v>
      </c>
      <c r="IL44" s="3">
        <v>8.0000000000000004E-4</v>
      </c>
      <c r="IM44" s="3">
        <v>0.27910000000000001</v>
      </c>
      <c r="IN44" s="3">
        <v>0</v>
      </c>
      <c r="IO44" s="3">
        <v>0.2283</v>
      </c>
      <c r="IP44" s="3">
        <v>2.0000000000000001E-4</v>
      </c>
      <c r="IQ44" s="3">
        <v>0.63859999999999995</v>
      </c>
      <c r="IR44" s="3">
        <v>8.3199999999999996E-2</v>
      </c>
      <c r="IS44" s="3">
        <v>0.29959999999999998</v>
      </c>
      <c r="IT44" s="1">
        <v>61693</v>
      </c>
      <c r="IU44" s="1">
        <v>12331</v>
      </c>
      <c r="IV44" s="1">
        <v>74024</v>
      </c>
      <c r="IW44" s="3">
        <v>0.65790000000000004</v>
      </c>
      <c r="IX44" s="1">
        <v>571475</v>
      </c>
      <c r="IZ44">
        <v>567</v>
      </c>
      <c r="JA44">
        <v>63</v>
      </c>
      <c r="JB44">
        <v>602</v>
      </c>
      <c r="JC44">
        <v>2</v>
      </c>
      <c r="JD44">
        <v>0</v>
      </c>
      <c r="JE44">
        <v>53</v>
      </c>
      <c r="JF44">
        <v>569</v>
      </c>
      <c r="JG44">
        <v>63</v>
      </c>
      <c r="JH44">
        <v>655</v>
      </c>
      <c r="JI44" s="1">
        <v>1287</v>
      </c>
      <c r="JJ44" s="1">
        <v>1232</v>
      </c>
      <c r="JK44">
        <v>55</v>
      </c>
      <c r="JL44" s="1">
        <v>6994</v>
      </c>
      <c r="JM44">
        <v>430</v>
      </c>
      <c r="JN44" s="1">
        <v>18353</v>
      </c>
      <c r="JO44">
        <v>142</v>
      </c>
      <c r="JP44">
        <v>0</v>
      </c>
      <c r="JQ44" s="1">
        <v>3103</v>
      </c>
      <c r="JR44" s="1">
        <v>7136</v>
      </c>
      <c r="JS44">
        <v>430</v>
      </c>
      <c r="JT44" s="1">
        <v>21456</v>
      </c>
      <c r="JU44" s="1">
        <v>29022</v>
      </c>
      <c r="JV44" s="1">
        <v>25777</v>
      </c>
      <c r="JW44" s="1">
        <v>3245</v>
      </c>
      <c r="JX44">
        <v>22.55</v>
      </c>
      <c r="JY44">
        <v>12.54</v>
      </c>
      <c r="JZ44">
        <v>32.76</v>
      </c>
      <c r="KA44">
        <v>0.25</v>
      </c>
      <c r="KB44">
        <v>0.74</v>
      </c>
      <c r="KC44">
        <v>4</v>
      </c>
      <c r="KD44">
        <v>11</v>
      </c>
      <c r="KE44">
        <v>47</v>
      </c>
      <c r="KF44">
        <v>241</v>
      </c>
      <c r="KG44">
        <v>392</v>
      </c>
      <c r="KH44" s="1">
        <v>11832</v>
      </c>
      <c r="KI44">
        <v>0</v>
      </c>
      <c r="KJ44">
        <v>0</v>
      </c>
      <c r="KK44">
        <v>104</v>
      </c>
      <c r="KL44" s="1">
        <v>2443</v>
      </c>
      <c r="KM44" s="1">
        <v>115372</v>
      </c>
      <c r="KN44" s="1">
        <v>29791</v>
      </c>
      <c r="KO44" s="1">
        <v>4171</v>
      </c>
      <c r="KQ44" s="1">
        <v>6212</v>
      </c>
      <c r="KS44" s="1">
        <v>28191</v>
      </c>
      <c r="KT44" s="1">
        <v>28800</v>
      </c>
      <c r="KU44">
        <v>52</v>
      </c>
      <c r="KV44">
        <v>77</v>
      </c>
      <c r="KW44" s="1">
        <v>55152</v>
      </c>
      <c r="KY44" s="1">
        <v>178736</v>
      </c>
      <c r="KZ44" s="1">
        <v>33314</v>
      </c>
      <c r="LC44" t="s">
        <v>1272</v>
      </c>
      <c r="LD44" t="s">
        <v>709</v>
      </c>
      <c r="LE44" t="s">
        <v>1270</v>
      </c>
      <c r="LF44" t="s">
        <v>1271</v>
      </c>
      <c r="LG44">
        <v>28739</v>
      </c>
      <c r="LH44">
        <v>4300</v>
      </c>
      <c r="LI44" t="s">
        <v>1270</v>
      </c>
      <c r="LJ44" t="s">
        <v>1271</v>
      </c>
      <c r="LK44">
        <v>28739</v>
      </c>
      <c r="LL44">
        <v>4300</v>
      </c>
      <c r="LM44" t="s">
        <v>1273</v>
      </c>
      <c r="LN44">
        <v>8286974725</v>
      </c>
      <c r="LO44">
        <v>8286928449</v>
      </c>
      <c r="LP44" s="1">
        <v>61790</v>
      </c>
      <c r="LQ44">
        <v>36.4</v>
      </c>
      <c r="LS44" s="1">
        <v>13600</v>
      </c>
      <c r="LT44">
        <v>312</v>
      </c>
      <c r="LW44">
        <v>2</v>
      </c>
      <c r="LX44" t="s">
        <v>1280</v>
      </c>
      <c r="LY44">
        <v>0</v>
      </c>
      <c r="LZ44" t="s">
        <v>691</v>
      </c>
      <c r="MA44">
        <v>60.75</v>
      </c>
      <c r="MB44">
        <v>33.56</v>
      </c>
    </row>
    <row r="45" spans="1:340" x14ac:dyDescent="0.25">
      <c r="A45" t="s">
        <v>1281</v>
      </c>
      <c r="B45">
        <v>0</v>
      </c>
      <c r="C45">
        <v>1375</v>
      </c>
      <c r="D45">
        <v>2017</v>
      </c>
      <c r="E45">
        <v>0</v>
      </c>
      <c r="F45" t="s">
        <v>1281</v>
      </c>
      <c r="G45" t="s">
        <v>1282</v>
      </c>
      <c r="H45" t="s">
        <v>668</v>
      </c>
      <c r="I45" t="s">
        <v>899</v>
      </c>
      <c r="J45" t="s">
        <v>670</v>
      </c>
      <c r="K45" t="s">
        <v>671</v>
      </c>
      <c r="L45" t="s">
        <v>900</v>
      </c>
      <c r="M45" t="s">
        <v>673</v>
      </c>
      <c r="N45" s="1">
        <v>40374</v>
      </c>
      <c r="O45" t="s">
        <v>674</v>
      </c>
      <c r="P45" s="1">
        <v>1066</v>
      </c>
      <c r="Q45">
        <v>298</v>
      </c>
      <c r="R45">
        <v>117</v>
      </c>
      <c r="S45">
        <v>6</v>
      </c>
      <c r="T45" s="1">
        <v>5795</v>
      </c>
      <c r="U45">
        <v>85</v>
      </c>
      <c r="V45" s="1">
        <v>30787</v>
      </c>
      <c r="W45" s="1">
        <v>3377</v>
      </c>
      <c r="Z45" t="s">
        <v>1283</v>
      </c>
      <c r="AA45" t="s">
        <v>1284</v>
      </c>
      <c r="AB45">
        <v>28601</v>
      </c>
      <c r="AC45">
        <v>5126</v>
      </c>
      <c r="AD45" t="s">
        <v>1283</v>
      </c>
      <c r="AE45" t="s">
        <v>1284</v>
      </c>
      <c r="AF45">
        <v>28601</v>
      </c>
      <c r="AG45">
        <v>2</v>
      </c>
      <c r="AH45" t="s">
        <v>1285</v>
      </c>
      <c r="AJ45" t="s">
        <v>904</v>
      </c>
      <c r="AK45" t="s">
        <v>886</v>
      </c>
      <c r="AL45" t="s">
        <v>1286</v>
      </c>
      <c r="AM45" t="s">
        <v>1287</v>
      </c>
      <c r="AN45" t="s">
        <v>1288</v>
      </c>
      <c r="AO45" t="s">
        <v>1289</v>
      </c>
      <c r="AP45" t="s">
        <v>1290</v>
      </c>
      <c r="AQ45" t="s">
        <v>1291</v>
      </c>
      <c r="AR45" t="s">
        <v>1292</v>
      </c>
      <c r="AS45" t="s">
        <v>1288</v>
      </c>
      <c r="AT45" t="s">
        <v>1293</v>
      </c>
      <c r="AU45" t="s">
        <v>1294</v>
      </c>
      <c r="BC45">
        <v>1</v>
      </c>
      <c r="BD45">
        <v>1</v>
      </c>
      <c r="BE45">
        <v>0</v>
      </c>
      <c r="BF45">
        <v>2</v>
      </c>
      <c r="BG45">
        <v>4</v>
      </c>
      <c r="BI45" s="1">
        <v>6656</v>
      </c>
      <c r="BJ45">
        <v>6.56</v>
      </c>
      <c r="BK45">
        <v>0.94</v>
      </c>
      <c r="BL45">
        <v>7.5</v>
      </c>
      <c r="BM45">
        <v>17.440000000000001</v>
      </c>
      <c r="BN45">
        <v>24.94</v>
      </c>
      <c r="BO45" s="3">
        <v>0.26300000000000001</v>
      </c>
      <c r="BP45">
        <v>455</v>
      </c>
      <c r="BQ45" s="4">
        <v>72758</v>
      </c>
      <c r="BU45" s="4">
        <v>44890</v>
      </c>
      <c r="BV45" s="4">
        <v>67334</v>
      </c>
      <c r="BW45" s="4">
        <v>56112</v>
      </c>
      <c r="BY45" s="4">
        <v>52058</v>
      </c>
      <c r="BZ45" s="4">
        <v>78087</v>
      </c>
      <c r="CA45" s="4">
        <v>65073</v>
      </c>
      <c r="CC45" s="4">
        <v>52058</v>
      </c>
      <c r="CD45" s="4">
        <v>78087</v>
      </c>
      <c r="CE45" s="1">
        <v>65073</v>
      </c>
      <c r="CK45" s="4">
        <v>35068</v>
      </c>
      <c r="CL45" s="4">
        <v>52602</v>
      </c>
      <c r="CM45" s="1">
        <v>43835</v>
      </c>
      <c r="CR45" s="4">
        <v>40667</v>
      </c>
      <c r="CS45" s="4">
        <v>61002</v>
      </c>
      <c r="CV45" s="4">
        <v>40667</v>
      </c>
      <c r="CW45" s="4">
        <v>61002</v>
      </c>
      <c r="DK45" s="4">
        <v>35087</v>
      </c>
      <c r="DL45" s="4">
        <v>52601</v>
      </c>
      <c r="DO45" s="4">
        <v>27395</v>
      </c>
      <c r="DP45" s="4">
        <v>41092</v>
      </c>
      <c r="DV45" s="4">
        <v>1540275</v>
      </c>
      <c r="DW45" s="4">
        <v>219000</v>
      </c>
      <c r="DX45" s="4">
        <v>1759275</v>
      </c>
      <c r="DY45" s="4">
        <v>26804</v>
      </c>
      <c r="DZ45" s="4">
        <v>0</v>
      </c>
      <c r="EA45" s="4">
        <v>26804</v>
      </c>
      <c r="EB45" s="4">
        <v>0</v>
      </c>
      <c r="EC45" s="4">
        <v>0</v>
      </c>
      <c r="ED45" s="4">
        <v>0</v>
      </c>
      <c r="EE45" s="4">
        <v>87300</v>
      </c>
      <c r="EF45" s="4">
        <v>1873379</v>
      </c>
      <c r="EG45" s="4">
        <v>942450</v>
      </c>
      <c r="EH45" s="4">
        <v>220259</v>
      </c>
      <c r="EI45" s="4">
        <v>1162709</v>
      </c>
      <c r="EJ45" s="4">
        <v>168269</v>
      </c>
      <c r="EK45" s="4">
        <v>37328</v>
      </c>
      <c r="EL45" s="4">
        <v>49883</v>
      </c>
      <c r="EM45" s="4">
        <v>255480</v>
      </c>
      <c r="EN45" s="4">
        <v>455190</v>
      </c>
      <c r="EO45" s="4">
        <v>1873379</v>
      </c>
      <c r="EP45" s="4">
        <v>0</v>
      </c>
      <c r="EQ45" s="3">
        <v>0</v>
      </c>
      <c r="ER45" s="4">
        <v>133276</v>
      </c>
      <c r="ES45" s="4">
        <v>0</v>
      </c>
      <c r="ET45" s="4">
        <v>0</v>
      </c>
      <c r="EU45" s="4">
        <v>0</v>
      </c>
      <c r="EV45" s="4">
        <v>133276</v>
      </c>
      <c r="EW45" s="4">
        <v>133276</v>
      </c>
      <c r="EX45" s="1">
        <v>55721</v>
      </c>
      <c r="EY45" s="1">
        <v>323296</v>
      </c>
      <c r="EZ45" s="1">
        <v>37700</v>
      </c>
      <c r="FA45" s="1">
        <v>4461</v>
      </c>
      <c r="FB45" s="1">
        <v>23706</v>
      </c>
      <c r="FC45" s="1">
        <v>33987</v>
      </c>
      <c r="FD45" s="1">
        <v>2536</v>
      </c>
      <c r="FE45" s="1">
        <v>15815</v>
      </c>
      <c r="FF45" s="1">
        <v>71687</v>
      </c>
      <c r="FG45" s="1">
        <v>6997</v>
      </c>
      <c r="FH45" s="1">
        <v>39521</v>
      </c>
      <c r="FI45" s="1">
        <v>118205</v>
      </c>
      <c r="FJ45">
        <v>0</v>
      </c>
      <c r="FK45">
        <v>219</v>
      </c>
      <c r="FM45" s="1">
        <v>118205</v>
      </c>
      <c r="FN45" s="1">
        <v>9003</v>
      </c>
      <c r="FO45" s="1">
        <v>13119</v>
      </c>
      <c r="FP45">
        <v>0</v>
      </c>
      <c r="FQ45">
        <v>6</v>
      </c>
      <c r="FR45">
        <v>88</v>
      </c>
      <c r="FS45">
        <v>94</v>
      </c>
      <c r="FT45" s="1">
        <v>44141</v>
      </c>
      <c r="FU45" s="1">
        <v>3505</v>
      </c>
      <c r="FV45">
        <v>0</v>
      </c>
      <c r="FW45">
        <v>0</v>
      </c>
      <c r="FX45" s="1">
        <v>8544</v>
      </c>
      <c r="FY45" s="1">
        <v>1573</v>
      </c>
      <c r="FZ45">
        <v>322</v>
      </c>
      <c r="GA45">
        <v>0</v>
      </c>
      <c r="GE45">
        <v>0</v>
      </c>
      <c r="GF45" s="1">
        <v>36593</v>
      </c>
      <c r="GG45" s="1">
        <v>13194</v>
      </c>
      <c r="GH45">
        <v>264</v>
      </c>
      <c r="GI45">
        <v>12</v>
      </c>
      <c r="GJ45" s="1">
        <v>57872</v>
      </c>
      <c r="GK45" s="1">
        <v>4441</v>
      </c>
      <c r="GL45" s="1">
        <v>12195</v>
      </c>
      <c r="GM45">
        <v>0</v>
      </c>
      <c r="GN45" s="1">
        <v>147150</v>
      </c>
      <c r="GO45" s="1">
        <v>22713</v>
      </c>
      <c r="GP45" s="1">
        <v>12781</v>
      </c>
      <c r="GQ45">
        <v>12</v>
      </c>
      <c r="GR45">
        <v>30</v>
      </c>
      <c r="GT45" s="1">
        <v>88350</v>
      </c>
      <c r="GU45" s="1">
        <v>9100</v>
      </c>
      <c r="GV45" s="1">
        <v>84987</v>
      </c>
      <c r="GW45" s="1">
        <v>18763</v>
      </c>
      <c r="GX45">
        <v>832</v>
      </c>
      <c r="GY45" s="1">
        <v>16158</v>
      </c>
      <c r="GZ45" s="1">
        <v>107113</v>
      </c>
      <c r="HA45" s="1">
        <v>9932</v>
      </c>
      <c r="HB45" s="1">
        <v>101145</v>
      </c>
      <c r="HC45" s="1">
        <v>218190</v>
      </c>
      <c r="HD45" s="1">
        <v>1675</v>
      </c>
      <c r="HE45" s="1">
        <v>219865</v>
      </c>
      <c r="HF45" s="1">
        <v>23216</v>
      </c>
      <c r="HG45" s="1">
        <v>95596</v>
      </c>
      <c r="HJ45" s="1">
        <v>118812</v>
      </c>
      <c r="HK45" s="1">
        <v>338677</v>
      </c>
      <c r="HL45">
        <v>196</v>
      </c>
      <c r="HM45" s="1">
        <v>11049</v>
      </c>
      <c r="HN45" s="1">
        <v>11245</v>
      </c>
      <c r="HO45">
        <v>43</v>
      </c>
      <c r="HP45" s="1">
        <v>7769</v>
      </c>
      <c r="HQ45" s="1">
        <v>7812</v>
      </c>
      <c r="HR45">
        <v>0</v>
      </c>
      <c r="HS45">
        <v>96</v>
      </c>
      <c r="HT45">
        <v>96</v>
      </c>
      <c r="HU45">
        <v>415</v>
      </c>
      <c r="HV45" s="1">
        <v>19568</v>
      </c>
      <c r="HW45" s="1">
        <v>46331</v>
      </c>
      <c r="HY45" s="1">
        <v>46331</v>
      </c>
      <c r="HZ45" s="1">
        <v>65899</v>
      </c>
      <c r="IA45" s="1">
        <v>31028</v>
      </c>
      <c r="IB45" s="1">
        <v>126720</v>
      </c>
      <c r="IC45" s="1">
        <v>358245</v>
      </c>
      <c r="ID45" s="1">
        <v>358245</v>
      </c>
      <c r="IE45" s="1">
        <v>404576</v>
      </c>
      <c r="IF45" s="1">
        <v>142907</v>
      </c>
      <c r="IG45">
        <v>248</v>
      </c>
      <c r="IJ45">
        <v>1</v>
      </c>
      <c r="IK45" s="3">
        <v>8.0100000000000005E-2</v>
      </c>
      <c r="IL45" s="3">
        <v>6.9999999999999999E-4</v>
      </c>
      <c r="IM45" s="3">
        <v>0.56499999999999995</v>
      </c>
      <c r="IN45" s="3">
        <v>0</v>
      </c>
      <c r="IO45" s="3">
        <v>0.45519999999999999</v>
      </c>
      <c r="IP45" s="3">
        <v>2.9999999999999997E-4</v>
      </c>
      <c r="IQ45" s="3">
        <v>0.36559999999999998</v>
      </c>
      <c r="IR45" s="3">
        <v>9.8100000000000007E-2</v>
      </c>
      <c r="IS45" s="3">
        <v>0.39889999999999998</v>
      </c>
      <c r="IT45" s="1">
        <v>28622</v>
      </c>
      <c r="IU45" s="1">
        <v>7767</v>
      </c>
      <c r="IV45" s="1">
        <v>36389</v>
      </c>
      <c r="IW45" s="3">
        <v>0.90129999999999999</v>
      </c>
      <c r="IX45" s="1">
        <v>323925</v>
      </c>
      <c r="IZ45">
        <v>233</v>
      </c>
      <c r="JA45">
        <v>6</v>
      </c>
      <c r="JB45">
        <v>429</v>
      </c>
      <c r="JC45">
        <v>7</v>
      </c>
      <c r="JD45">
        <v>3</v>
      </c>
      <c r="JE45">
        <v>320</v>
      </c>
      <c r="JF45">
        <v>240</v>
      </c>
      <c r="JG45">
        <v>9</v>
      </c>
      <c r="JH45">
        <v>749</v>
      </c>
      <c r="JI45">
        <v>998</v>
      </c>
      <c r="JJ45">
        <v>668</v>
      </c>
      <c r="JK45">
        <v>330</v>
      </c>
      <c r="JL45" s="1">
        <v>3816</v>
      </c>
      <c r="JM45">
        <v>31</v>
      </c>
      <c r="JN45" s="1">
        <v>7574</v>
      </c>
      <c r="JO45">
        <v>208</v>
      </c>
      <c r="JP45">
        <v>40</v>
      </c>
      <c r="JQ45" s="1">
        <v>7567</v>
      </c>
      <c r="JR45" s="1">
        <v>4024</v>
      </c>
      <c r="JS45">
        <v>71</v>
      </c>
      <c r="JT45" s="1">
        <v>15141</v>
      </c>
      <c r="JU45" s="1">
        <v>19236</v>
      </c>
      <c r="JV45" s="1">
        <v>11421</v>
      </c>
      <c r="JW45" s="1">
        <v>7815</v>
      </c>
      <c r="JX45">
        <v>19.27</v>
      </c>
      <c r="JY45">
        <v>16.77</v>
      </c>
      <c r="JZ45">
        <v>20.21</v>
      </c>
      <c r="KA45">
        <v>0.21</v>
      </c>
      <c r="KB45">
        <v>0.79</v>
      </c>
      <c r="KC45">
        <v>1</v>
      </c>
      <c r="KD45">
        <v>5</v>
      </c>
      <c r="KE45">
        <v>19</v>
      </c>
      <c r="KF45">
        <v>60</v>
      </c>
      <c r="KG45">
        <v>208</v>
      </c>
      <c r="KH45" s="1">
        <v>4420</v>
      </c>
      <c r="KM45" s="1">
        <v>56493</v>
      </c>
      <c r="KN45" s="1">
        <v>25884</v>
      </c>
      <c r="KO45" s="1">
        <v>2735</v>
      </c>
      <c r="KQ45">
        <v>947</v>
      </c>
      <c r="KR45" s="1">
        <v>4529</v>
      </c>
      <c r="KS45">
        <v>161</v>
      </c>
      <c r="KT45">
        <v>332</v>
      </c>
      <c r="KU45">
        <v>35</v>
      </c>
      <c r="KV45">
        <v>56</v>
      </c>
      <c r="KW45" s="1">
        <v>48472</v>
      </c>
      <c r="LC45" t="s">
        <v>1295</v>
      </c>
      <c r="LD45" t="s">
        <v>689</v>
      </c>
      <c r="LE45" t="s">
        <v>1283</v>
      </c>
      <c r="LF45" t="s">
        <v>1284</v>
      </c>
      <c r="LG45">
        <v>28601</v>
      </c>
      <c r="LH45">
        <v>5126</v>
      </c>
      <c r="LI45" t="s">
        <v>1283</v>
      </c>
      <c r="LJ45" t="s">
        <v>1284</v>
      </c>
      <c r="LK45">
        <v>28601</v>
      </c>
      <c r="LL45">
        <v>5126</v>
      </c>
      <c r="LM45" t="s">
        <v>886</v>
      </c>
      <c r="LN45">
        <v>8283040500</v>
      </c>
      <c r="LO45">
        <v>8283040023</v>
      </c>
      <c r="LP45" s="1">
        <v>44800</v>
      </c>
      <c r="LQ45">
        <v>24.94</v>
      </c>
      <c r="LS45" s="1">
        <v>6656</v>
      </c>
      <c r="LT45">
        <v>104</v>
      </c>
      <c r="LW45">
        <v>2</v>
      </c>
      <c r="LX45" t="s">
        <v>1296</v>
      </c>
      <c r="LY45">
        <v>0</v>
      </c>
      <c r="LZ45" t="s">
        <v>691</v>
      </c>
      <c r="MA45">
        <v>199.74</v>
      </c>
      <c r="MB45">
        <v>74.069999999999993</v>
      </c>
    </row>
    <row r="46" spans="1:340" x14ac:dyDescent="0.25">
      <c r="A46" t="s">
        <v>1297</v>
      </c>
      <c r="B46">
        <v>0</v>
      </c>
      <c r="C46">
        <v>1375</v>
      </c>
      <c r="D46">
        <v>2017</v>
      </c>
      <c r="E46">
        <v>0</v>
      </c>
      <c r="F46" t="s">
        <v>1297</v>
      </c>
      <c r="G46" t="s">
        <v>1298</v>
      </c>
      <c r="H46" t="s">
        <v>668</v>
      </c>
      <c r="I46" t="s">
        <v>899</v>
      </c>
      <c r="J46" t="s">
        <v>670</v>
      </c>
      <c r="K46" t="s">
        <v>671</v>
      </c>
      <c r="L46" t="s">
        <v>900</v>
      </c>
      <c r="M46" t="s">
        <v>673</v>
      </c>
      <c r="N46" s="1">
        <v>109749</v>
      </c>
      <c r="O46" t="s">
        <v>674</v>
      </c>
      <c r="P46" s="1">
        <v>1084</v>
      </c>
      <c r="Q46">
        <v>54</v>
      </c>
      <c r="R46">
        <v>99</v>
      </c>
      <c r="S46">
        <v>16</v>
      </c>
      <c r="T46" s="1">
        <v>9783</v>
      </c>
      <c r="U46" s="1">
        <v>1999</v>
      </c>
      <c r="V46">
        <v>-1</v>
      </c>
      <c r="W46" s="1">
        <v>6230</v>
      </c>
      <c r="Z46" t="s">
        <v>1299</v>
      </c>
      <c r="AA46" t="s">
        <v>1300</v>
      </c>
      <c r="AB46">
        <v>27261</v>
      </c>
      <c r="AC46">
        <v>2530</v>
      </c>
      <c r="AD46" t="s">
        <v>1301</v>
      </c>
      <c r="AE46" t="s">
        <v>1300</v>
      </c>
      <c r="AF46">
        <v>27262</v>
      </c>
      <c r="AG46">
        <v>2</v>
      </c>
      <c r="AH46" t="s">
        <v>1302</v>
      </c>
      <c r="AJ46" t="s">
        <v>904</v>
      </c>
      <c r="AK46" t="s">
        <v>1207</v>
      </c>
      <c r="AL46" t="s">
        <v>1303</v>
      </c>
      <c r="AM46" t="s">
        <v>1304</v>
      </c>
      <c r="AN46" t="s">
        <v>1305</v>
      </c>
      <c r="AO46" t="s">
        <v>1306</v>
      </c>
      <c r="AP46" t="s">
        <v>1307</v>
      </c>
      <c r="AQ46" t="s">
        <v>892</v>
      </c>
      <c r="AR46" t="s">
        <v>1308</v>
      </c>
      <c r="AS46" t="s">
        <v>1305</v>
      </c>
      <c r="AT46" t="s">
        <v>1309</v>
      </c>
      <c r="AU46" t="s">
        <v>1310</v>
      </c>
      <c r="BC46">
        <v>1</v>
      </c>
      <c r="BD46">
        <v>0</v>
      </c>
      <c r="BE46">
        <v>1</v>
      </c>
      <c r="BF46">
        <v>1</v>
      </c>
      <c r="BG46">
        <v>3</v>
      </c>
      <c r="BI46" s="1">
        <v>3549</v>
      </c>
      <c r="BJ46">
        <v>16.75</v>
      </c>
      <c r="BK46">
        <v>0</v>
      </c>
      <c r="BL46">
        <v>16.75</v>
      </c>
      <c r="BM46">
        <v>43</v>
      </c>
      <c r="BN46">
        <v>59.75</v>
      </c>
      <c r="BO46" s="3">
        <v>0.28029999999999999</v>
      </c>
      <c r="BP46" s="1">
        <v>2221</v>
      </c>
      <c r="BQ46" s="4">
        <v>113449</v>
      </c>
      <c r="BT46" s="1">
        <v>83310</v>
      </c>
      <c r="BU46" s="4">
        <v>0</v>
      </c>
      <c r="BV46" s="4">
        <v>0</v>
      </c>
      <c r="BW46" s="4">
        <v>0</v>
      </c>
      <c r="BY46" s="4">
        <v>48094</v>
      </c>
      <c r="BZ46" s="4">
        <v>82457</v>
      </c>
      <c r="CA46" s="4">
        <v>65160</v>
      </c>
      <c r="CC46" s="4">
        <v>48094</v>
      </c>
      <c r="CD46" s="4">
        <v>82457</v>
      </c>
      <c r="CE46" s="1">
        <v>65286</v>
      </c>
      <c r="CG46" s="4">
        <v>48094</v>
      </c>
      <c r="CH46" s="4">
        <v>82457</v>
      </c>
      <c r="CI46" s="4">
        <v>63490</v>
      </c>
      <c r="CK46" s="4">
        <v>41546</v>
      </c>
      <c r="CL46" s="4">
        <v>64915</v>
      </c>
      <c r="CM46" s="1">
        <v>57008</v>
      </c>
      <c r="CO46" s="4">
        <v>43622</v>
      </c>
      <c r="CP46" s="4">
        <v>68160</v>
      </c>
      <c r="CQ46" s="4">
        <v>48803</v>
      </c>
      <c r="CR46" s="4">
        <v>0</v>
      </c>
      <c r="CS46" s="4">
        <v>0</v>
      </c>
      <c r="CT46" s="4">
        <v>0</v>
      </c>
      <c r="CV46" s="4">
        <v>39566</v>
      </c>
      <c r="CW46" s="4">
        <v>61824</v>
      </c>
      <c r="CX46" s="4">
        <v>42482</v>
      </c>
      <c r="CZ46" s="4">
        <v>0</v>
      </c>
      <c r="DA46" s="4">
        <v>0</v>
      </c>
      <c r="DB46" s="4">
        <v>0</v>
      </c>
      <c r="DD46" s="4">
        <v>0</v>
      </c>
      <c r="DE46" s="4">
        <v>0</v>
      </c>
      <c r="DF46" s="4">
        <v>0</v>
      </c>
      <c r="DO46" s="4">
        <v>25505</v>
      </c>
      <c r="DP46" s="4">
        <v>39851</v>
      </c>
      <c r="DQ46" s="4">
        <v>28625</v>
      </c>
      <c r="DS46" s="4">
        <v>45804</v>
      </c>
      <c r="DT46" s="4">
        <v>95453</v>
      </c>
      <c r="DU46" s="4">
        <v>55259</v>
      </c>
      <c r="DV46" s="4">
        <v>4348248</v>
      </c>
      <c r="DW46" s="4">
        <v>359960</v>
      </c>
      <c r="DX46" s="4">
        <v>4708208</v>
      </c>
      <c r="DY46" s="4">
        <v>82737</v>
      </c>
      <c r="DZ46" s="4">
        <v>0</v>
      </c>
      <c r="EA46" s="4">
        <v>82737</v>
      </c>
      <c r="EB46" s="4">
        <v>4675</v>
      </c>
      <c r="EC46" s="4">
        <v>0</v>
      </c>
      <c r="ED46" s="4">
        <v>4675</v>
      </c>
      <c r="EE46" s="4">
        <v>0</v>
      </c>
      <c r="EF46" s="4">
        <v>4795620</v>
      </c>
      <c r="EG46" s="4">
        <v>2325163</v>
      </c>
      <c r="EH46" s="4">
        <v>885685</v>
      </c>
      <c r="EI46" s="4">
        <v>3210848</v>
      </c>
      <c r="EJ46" s="4">
        <v>210834</v>
      </c>
      <c r="EK46" s="4">
        <v>106850</v>
      </c>
      <c r="EL46" s="4">
        <v>106541</v>
      </c>
      <c r="EM46" s="4">
        <v>424225</v>
      </c>
      <c r="EN46" s="4">
        <v>704960</v>
      </c>
      <c r="EO46" s="4">
        <v>4340033</v>
      </c>
      <c r="EP46" s="4">
        <v>455587</v>
      </c>
      <c r="EQ46" s="3">
        <v>9.5000000000000001E-2</v>
      </c>
      <c r="ER46" s="4">
        <v>7995</v>
      </c>
      <c r="ES46" s="4">
        <v>0</v>
      </c>
      <c r="ET46" s="4">
        <v>0</v>
      </c>
      <c r="EU46" s="4">
        <v>0</v>
      </c>
      <c r="EV46" s="4">
        <v>7995</v>
      </c>
      <c r="EW46" s="4">
        <v>7995</v>
      </c>
      <c r="EX46" s="1">
        <v>232609</v>
      </c>
      <c r="EY46" s="1">
        <v>948141</v>
      </c>
      <c r="EZ46" s="1">
        <v>58215</v>
      </c>
      <c r="FA46" s="1">
        <v>5435</v>
      </c>
      <c r="FB46" s="1">
        <v>51547</v>
      </c>
      <c r="FC46" s="1">
        <v>111455</v>
      </c>
      <c r="FD46">
        <v>121</v>
      </c>
      <c r="FE46" s="1">
        <v>27211</v>
      </c>
      <c r="FF46" s="1">
        <v>169670</v>
      </c>
      <c r="FG46" s="1">
        <v>5556</v>
      </c>
      <c r="FH46" s="1">
        <v>78758</v>
      </c>
      <c r="FI46" s="1">
        <v>253984</v>
      </c>
      <c r="FJ46" s="1">
        <v>69002</v>
      </c>
      <c r="FK46">
        <v>752</v>
      </c>
      <c r="FM46" s="1">
        <v>253984</v>
      </c>
      <c r="FN46" s="1">
        <v>7782</v>
      </c>
      <c r="FO46" s="1">
        <v>18477</v>
      </c>
      <c r="FP46" s="1">
        <v>3631</v>
      </c>
      <c r="FQ46">
        <v>22</v>
      </c>
      <c r="FR46">
        <v>88</v>
      </c>
      <c r="FS46">
        <v>110</v>
      </c>
      <c r="FT46" s="1">
        <v>44141</v>
      </c>
      <c r="FU46" s="1">
        <v>3505</v>
      </c>
      <c r="FV46">
        <v>0</v>
      </c>
      <c r="FW46">
        <v>0</v>
      </c>
      <c r="FX46" s="1">
        <v>8544</v>
      </c>
      <c r="FY46" s="1">
        <v>1573</v>
      </c>
      <c r="FZ46">
        <v>322</v>
      </c>
      <c r="GA46">
        <v>0</v>
      </c>
      <c r="GE46">
        <v>0</v>
      </c>
      <c r="GF46" s="1">
        <v>36593</v>
      </c>
      <c r="GG46" s="1">
        <v>13194</v>
      </c>
      <c r="GH46">
        <v>264</v>
      </c>
      <c r="GI46">
        <v>12</v>
      </c>
      <c r="GJ46" s="1">
        <v>296780</v>
      </c>
      <c r="GK46" s="1">
        <v>97230</v>
      </c>
      <c r="GL46" s="1">
        <v>92157</v>
      </c>
      <c r="GM46">
        <v>88</v>
      </c>
      <c r="GN46" s="1">
        <v>386058</v>
      </c>
      <c r="GO46" s="1">
        <v>115502</v>
      </c>
      <c r="GP46" s="1">
        <v>92743</v>
      </c>
      <c r="GQ46">
        <v>100</v>
      </c>
      <c r="GR46">
        <v>215</v>
      </c>
      <c r="GT46" s="1">
        <v>118208</v>
      </c>
      <c r="GU46" s="1">
        <v>18048</v>
      </c>
      <c r="GV46" s="1">
        <v>117622</v>
      </c>
      <c r="GW46" s="1">
        <v>63707</v>
      </c>
      <c r="GX46">
        <v>155</v>
      </c>
      <c r="GY46" s="1">
        <v>27557</v>
      </c>
      <c r="GZ46" s="1">
        <v>181915</v>
      </c>
      <c r="HA46" s="1">
        <v>18203</v>
      </c>
      <c r="HB46" s="1">
        <v>145179</v>
      </c>
      <c r="HC46" s="1">
        <v>345297</v>
      </c>
      <c r="HD46">
        <v>819</v>
      </c>
      <c r="HE46" s="1">
        <v>346117</v>
      </c>
      <c r="HF46" s="1">
        <v>26497</v>
      </c>
      <c r="HG46" s="1">
        <v>147469</v>
      </c>
      <c r="HH46">
        <v>1</v>
      </c>
      <c r="HI46" s="1">
        <v>60155</v>
      </c>
      <c r="HJ46" s="1">
        <v>234121</v>
      </c>
      <c r="HK46" s="1">
        <v>580238</v>
      </c>
      <c r="HL46">
        <v>164</v>
      </c>
      <c r="HM46" s="1">
        <v>33460</v>
      </c>
      <c r="HN46" s="1">
        <v>33624</v>
      </c>
      <c r="HO46">
        <v>679</v>
      </c>
      <c r="HP46" s="1">
        <v>16079</v>
      </c>
      <c r="HQ46" s="1">
        <v>16758</v>
      </c>
      <c r="HR46">
        <v>0</v>
      </c>
      <c r="HS46">
        <v>128</v>
      </c>
      <c r="HT46">
        <v>128</v>
      </c>
      <c r="HU46" s="1">
        <v>1320</v>
      </c>
      <c r="HV46" s="1">
        <v>51830</v>
      </c>
      <c r="HW46" s="1">
        <v>101289</v>
      </c>
      <c r="HX46">
        <v>0</v>
      </c>
      <c r="HY46" s="1">
        <v>101289</v>
      </c>
      <c r="HZ46" s="1">
        <v>153119</v>
      </c>
      <c r="IA46" s="1">
        <v>43255</v>
      </c>
      <c r="IB46" s="1">
        <v>190852</v>
      </c>
      <c r="IC46" s="1">
        <v>632068</v>
      </c>
      <c r="ID46" s="1">
        <v>632068</v>
      </c>
      <c r="IE46" s="1">
        <v>733357</v>
      </c>
      <c r="IF46" s="1">
        <v>163871</v>
      </c>
      <c r="IG46">
        <v>263</v>
      </c>
      <c r="IJ46">
        <v>1</v>
      </c>
      <c r="IK46" s="3">
        <v>0.1173</v>
      </c>
      <c r="IL46" s="3">
        <v>8.0000000000000004E-4</v>
      </c>
      <c r="IM46" s="3">
        <v>0.62690000000000001</v>
      </c>
      <c r="IN46" s="3">
        <v>0</v>
      </c>
      <c r="IO46" s="3">
        <v>0.40720000000000001</v>
      </c>
      <c r="IP46" s="3">
        <v>1E-4</v>
      </c>
      <c r="IQ46" s="3">
        <v>0.26790000000000003</v>
      </c>
      <c r="IR46" s="3">
        <v>0.13</v>
      </c>
      <c r="IS46" s="3">
        <v>0.25929999999999997</v>
      </c>
      <c r="IT46" s="1">
        <v>74987</v>
      </c>
      <c r="IU46" s="1">
        <v>14002</v>
      </c>
      <c r="IV46" s="1">
        <v>88989</v>
      </c>
      <c r="IW46" s="3">
        <v>0.81079999999999997</v>
      </c>
      <c r="IX46" s="1">
        <v>313997</v>
      </c>
      <c r="IZ46" s="1">
        <v>1728</v>
      </c>
      <c r="JA46">
        <v>10</v>
      </c>
      <c r="JB46" s="1">
        <v>1074</v>
      </c>
      <c r="JC46">
        <v>29</v>
      </c>
      <c r="JD46">
        <v>0</v>
      </c>
      <c r="JE46">
        <v>861</v>
      </c>
      <c r="JF46" s="1">
        <v>1757</v>
      </c>
      <c r="JG46">
        <v>10</v>
      </c>
      <c r="JH46" s="1">
        <v>1935</v>
      </c>
      <c r="JI46" s="1">
        <v>3702</v>
      </c>
      <c r="JJ46" s="1">
        <v>2812</v>
      </c>
      <c r="JK46">
        <v>890</v>
      </c>
      <c r="JL46" s="1">
        <v>10129</v>
      </c>
      <c r="JM46">
        <v>118</v>
      </c>
      <c r="JN46" s="1">
        <v>13338</v>
      </c>
      <c r="JO46">
        <v>315</v>
      </c>
      <c r="JP46">
        <v>0</v>
      </c>
      <c r="JQ46" s="1">
        <v>13307</v>
      </c>
      <c r="JR46" s="1">
        <v>10444</v>
      </c>
      <c r="JS46">
        <v>118</v>
      </c>
      <c r="JT46" s="1">
        <v>26645</v>
      </c>
      <c r="JU46" s="1">
        <v>37207</v>
      </c>
      <c r="JV46" s="1">
        <v>23585</v>
      </c>
      <c r="JW46" s="1">
        <v>13622</v>
      </c>
      <c r="JX46">
        <v>10.050000000000001</v>
      </c>
      <c r="JY46">
        <v>5.94</v>
      </c>
      <c r="JZ46">
        <v>13.77</v>
      </c>
      <c r="KA46">
        <v>0.28000000000000003</v>
      </c>
      <c r="KB46">
        <v>0.72</v>
      </c>
      <c r="KC46">
        <v>11</v>
      </c>
      <c r="KD46">
        <v>99</v>
      </c>
      <c r="KE46">
        <v>741</v>
      </c>
      <c r="KF46">
        <v>946</v>
      </c>
      <c r="KG46">
        <v>929</v>
      </c>
      <c r="KH46" s="1">
        <v>11735</v>
      </c>
      <c r="KI46">
        <v>0</v>
      </c>
      <c r="KJ46">
        <v>0</v>
      </c>
      <c r="KK46">
        <v>0</v>
      </c>
      <c r="KL46">
        <v>0</v>
      </c>
      <c r="KM46" s="1">
        <v>101630</v>
      </c>
      <c r="KN46" s="1">
        <v>9302</v>
      </c>
      <c r="KO46">
        <v>421</v>
      </c>
      <c r="KQ46">
        <v>397</v>
      </c>
      <c r="KR46" s="1">
        <v>7431</v>
      </c>
      <c r="KS46" s="1">
        <v>1890</v>
      </c>
      <c r="KT46">
        <v>915</v>
      </c>
      <c r="KU46">
        <v>102</v>
      </c>
      <c r="KV46">
        <v>117</v>
      </c>
      <c r="KW46" s="1">
        <v>58107</v>
      </c>
      <c r="KY46" s="1">
        <v>131381</v>
      </c>
      <c r="KZ46" s="1">
        <v>18678</v>
      </c>
      <c r="LC46" t="s">
        <v>1302</v>
      </c>
      <c r="LD46" t="s">
        <v>689</v>
      </c>
      <c r="LE46" t="s">
        <v>1299</v>
      </c>
      <c r="LF46" t="s">
        <v>1300</v>
      </c>
      <c r="LG46">
        <v>27261</v>
      </c>
      <c r="LH46">
        <v>2530</v>
      </c>
      <c r="LI46" t="s">
        <v>1301</v>
      </c>
      <c r="LJ46" t="s">
        <v>1300</v>
      </c>
      <c r="LK46">
        <v>27262</v>
      </c>
      <c r="LL46">
        <v>3923</v>
      </c>
      <c r="LM46" t="s">
        <v>1207</v>
      </c>
      <c r="LN46">
        <v>3368833631</v>
      </c>
      <c r="LO46">
        <v>3368833636</v>
      </c>
      <c r="LP46" s="1">
        <v>83440</v>
      </c>
      <c r="LQ46">
        <v>69</v>
      </c>
      <c r="LS46" s="1">
        <v>3549</v>
      </c>
      <c r="LT46">
        <v>86</v>
      </c>
      <c r="LW46">
        <v>2</v>
      </c>
      <c r="LX46" t="s">
        <v>1311</v>
      </c>
      <c r="LY46">
        <v>0</v>
      </c>
      <c r="LZ46" t="s">
        <v>691</v>
      </c>
      <c r="MA46">
        <v>18</v>
      </c>
      <c r="MB46">
        <v>17</v>
      </c>
    </row>
    <row r="47" spans="1:340" x14ac:dyDescent="0.25">
      <c r="A47" t="s">
        <v>1312</v>
      </c>
      <c r="B47">
        <v>0</v>
      </c>
      <c r="C47">
        <v>1375</v>
      </c>
      <c r="D47">
        <v>2017</v>
      </c>
      <c r="E47">
        <v>0</v>
      </c>
      <c r="F47" t="s">
        <v>1312</v>
      </c>
      <c r="G47">
        <v>154240</v>
      </c>
      <c r="H47" t="s">
        <v>668</v>
      </c>
      <c r="I47" t="s">
        <v>899</v>
      </c>
      <c r="J47" t="s">
        <v>870</v>
      </c>
      <c r="K47" t="s">
        <v>671</v>
      </c>
      <c r="L47" t="s">
        <v>900</v>
      </c>
      <c r="M47" t="s">
        <v>671</v>
      </c>
      <c r="N47" s="1">
        <v>18734</v>
      </c>
      <c r="O47" t="s">
        <v>674</v>
      </c>
      <c r="R47">
        <v>25</v>
      </c>
      <c r="S47">
        <v>11</v>
      </c>
      <c r="T47">
        <v>918</v>
      </c>
      <c r="U47">
        <v>375</v>
      </c>
      <c r="V47" s="1">
        <v>33768</v>
      </c>
      <c r="W47" s="1">
        <v>2609</v>
      </c>
      <c r="X47" s="1">
        <v>24000</v>
      </c>
      <c r="Z47" t="s">
        <v>1313</v>
      </c>
      <c r="AA47" t="s">
        <v>1314</v>
      </c>
      <c r="AB47">
        <v>27520</v>
      </c>
      <c r="AC47">
        <v>2420</v>
      </c>
      <c r="AD47" t="s">
        <v>1313</v>
      </c>
      <c r="AE47" t="s">
        <v>1314</v>
      </c>
      <c r="AF47">
        <v>27520</v>
      </c>
      <c r="AG47">
        <v>3</v>
      </c>
      <c r="AH47" t="s">
        <v>1315</v>
      </c>
      <c r="AJ47" t="s">
        <v>904</v>
      </c>
      <c r="AK47" t="s">
        <v>1316</v>
      </c>
      <c r="AL47" t="s">
        <v>1317</v>
      </c>
      <c r="AM47" t="s">
        <v>1318</v>
      </c>
      <c r="AO47" t="s">
        <v>1319</v>
      </c>
      <c r="AP47" t="s">
        <v>1320</v>
      </c>
      <c r="AQ47" t="s">
        <v>1321</v>
      </c>
      <c r="AR47" t="s">
        <v>1322</v>
      </c>
      <c r="AT47" t="s">
        <v>1323</v>
      </c>
      <c r="AU47" t="s">
        <v>1324</v>
      </c>
      <c r="BC47">
        <v>1</v>
      </c>
      <c r="BD47">
        <v>0</v>
      </c>
      <c r="BE47">
        <v>0</v>
      </c>
      <c r="BF47">
        <v>0</v>
      </c>
      <c r="BG47">
        <v>1</v>
      </c>
      <c r="BI47" s="1">
        <v>2756</v>
      </c>
      <c r="BJ47">
        <v>2</v>
      </c>
      <c r="BK47">
        <v>0</v>
      </c>
      <c r="BL47">
        <v>2</v>
      </c>
      <c r="BM47">
        <v>7.3</v>
      </c>
      <c r="BN47">
        <v>9.3000000000000007</v>
      </c>
      <c r="BO47" s="3">
        <v>0.21510000000000001</v>
      </c>
      <c r="BP47">
        <v>700</v>
      </c>
      <c r="BQ47" s="4">
        <v>58000</v>
      </c>
      <c r="BT47">
        <v>-1</v>
      </c>
      <c r="CG47" s="4">
        <v>35952</v>
      </c>
      <c r="CH47" s="4">
        <v>56961</v>
      </c>
      <c r="CI47" s="4">
        <v>55656</v>
      </c>
      <c r="DH47" s="4">
        <v>29578</v>
      </c>
      <c r="DI47" s="4">
        <v>46882</v>
      </c>
      <c r="DJ47" s="4">
        <v>36079</v>
      </c>
      <c r="DK47" s="4">
        <v>25550</v>
      </c>
      <c r="DL47" s="4">
        <v>40481</v>
      </c>
      <c r="DM47" s="4">
        <v>32766</v>
      </c>
      <c r="DO47" s="4">
        <v>22880</v>
      </c>
      <c r="DP47" s="4">
        <v>22880</v>
      </c>
      <c r="DQ47" s="4">
        <v>-1</v>
      </c>
      <c r="DV47" s="4">
        <v>516578</v>
      </c>
      <c r="DW47" s="4">
        <v>0</v>
      </c>
      <c r="DX47" s="4">
        <v>516578</v>
      </c>
      <c r="DY47" s="4">
        <v>11636</v>
      </c>
      <c r="DZ47" s="4">
        <v>0</v>
      </c>
      <c r="EA47" s="4">
        <v>11636</v>
      </c>
      <c r="EB47" s="4">
        <v>0</v>
      </c>
      <c r="EC47" s="4">
        <v>0</v>
      </c>
      <c r="ED47" s="4">
        <v>0</v>
      </c>
      <c r="EE47" s="4">
        <v>26939</v>
      </c>
      <c r="EF47" s="4">
        <v>555153</v>
      </c>
      <c r="EG47" s="4">
        <v>329010</v>
      </c>
      <c r="EH47" s="4">
        <v>113435</v>
      </c>
      <c r="EI47" s="4">
        <v>442445</v>
      </c>
      <c r="EJ47" s="4">
        <v>40799</v>
      </c>
      <c r="EK47" s="4">
        <v>0</v>
      </c>
      <c r="EL47" s="4">
        <v>300</v>
      </c>
      <c r="EM47" s="4">
        <v>41099</v>
      </c>
      <c r="EN47" s="4">
        <v>43189</v>
      </c>
      <c r="EO47" s="4">
        <v>526733</v>
      </c>
      <c r="EP47" s="4">
        <v>28420</v>
      </c>
      <c r="EQ47" s="3">
        <v>5.1200000000000002E-2</v>
      </c>
      <c r="ER47" s="4">
        <v>36951</v>
      </c>
      <c r="ES47" s="4">
        <v>0</v>
      </c>
      <c r="ET47" s="4">
        <v>0</v>
      </c>
      <c r="EU47" s="4">
        <v>0</v>
      </c>
      <c r="EV47" s="4">
        <v>36951</v>
      </c>
      <c r="EW47" s="4">
        <v>31220</v>
      </c>
      <c r="EX47" s="1">
        <v>7151</v>
      </c>
      <c r="EY47" s="1">
        <v>111043</v>
      </c>
      <c r="EZ47" s="1">
        <v>18664</v>
      </c>
      <c r="FA47" s="1">
        <v>2004</v>
      </c>
      <c r="FB47" s="1">
        <v>17732</v>
      </c>
      <c r="FC47" s="1">
        <v>17426</v>
      </c>
      <c r="FD47">
        <v>408</v>
      </c>
      <c r="FE47" s="1">
        <v>7996</v>
      </c>
      <c r="FF47" s="1">
        <v>36090</v>
      </c>
      <c r="FG47" s="1">
        <v>2412</v>
      </c>
      <c r="FH47" s="1">
        <v>25728</v>
      </c>
      <c r="FI47" s="1">
        <v>64230</v>
      </c>
      <c r="FJ47" s="1">
        <v>1170</v>
      </c>
      <c r="FK47">
        <v>20</v>
      </c>
      <c r="FM47" s="1">
        <v>64230</v>
      </c>
      <c r="FN47" s="1">
        <v>1604</v>
      </c>
      <c r="FO47">
        <v>1</v>
      </c>
      <c r="FP47">
        <v>196</v>
      </c>
      <c r="FQ47">
        <v>0</v>
      </c>
      <c r="FR47">
        <v>74</v>
      </c>
      <c r="FS47">
        <v>74</v>
      </c>
      <c r="FT47" s="1">
        <v>26725</v>
      </c>
      <c r="FU47" s="1">
        <v>2022</v>
      </c>
      <c r="FV47">
        <v>0</v>
      </c>
      <c r="FW47">
        <v>0</v>
      </c>
      <c r="FX47" s="1">
        <v>8544</v>
      </c>
      <c r="FY47" s="1">
        <v>1573</v>
      </c>
      <c r="FZ47">
        <v>322</v>
      </c>
      <c r="GA47">
        <v>0</v>
      </c>
      <c r="GB47">
        <v>-1</v>
      </c>
      <c r="GC47">
        <v>-1</v>
      </c>
      <c r="GD47">
        <v>-1</v>
      </c>
      <c r="GE47">
        <v>-1</v>
      </c>
      <c r="GF47">
        <v>-1</v>
      </c>
      <c r="GG47">
        <v>-1</v>
      </c>
      <c r="GH47">
        <v>-1</v>
      </c>
      <c r="GI47">
        <v>-1</v>
      </c>
      <c r="GJ47" s="1">
        <v>1043</v>
      </c>
      <c r="GK47" s="1">
        <v>3527</v>
      </c>
      <c r="GL47">
        <v>0</v>
      </c>
      <c r="GM47">
        <v>0</v>
      </c>
      <c r="GN47" s="1">
        <v>36310</v>
      </c>
      <c r="GO47" s="1">
        <v>7120</v>
      </c>
      <c r="GP47">
        <v>320</v>
      </c>
      <c r="GQ47">
        <v>-2</v>
      </c>
      <c r="GR47">
        <v>10</v>
      </c>
      <c r="GT47" s="1">
        <v>47823</v>
      </c>
      <c r="GU47" s="1">
        <v>4715</v>
      </c>
      <c r="GV47" s="1">
        <v>48490</v>
      </c>
      <c r="GW47" s="1">
        <v>10431</v>
      </c>
      <c r="GX47">
        <v>870</v>
      </c>
      <c r="GY47" s="1">
        <v>17149</v>
      </c>
      <c r="GZ47" s="1">
        <v>58254</v>
      </c>
      <c r="HA47" s="1">
        <v>5585</v>
      </c>
      <c r="HB47" s="1">
        <v>65639</v>
      </c>
      <c r="HC47" s="1">
        <v>129478</v>
      </c>
      <c r="HD47">
        <v>38</v>
      </c>
      <c r="HE47" s="1">
        <v>134903</v>
      </c>
      <c r="HF47" s="1">
        <v>6664</v>
      </c>
      <c r="HG47">
        <v>0</v>
      </c>
      <c r="HH47" s="1">
        <v>5387</v>
      </c>
      <c r="HI47">
        <v>567</v>
      </c>
      <c r="HJ47" s="1">
        <v>7231</v>
      </c>
      <c r="HK47" s="1">
        <v>142134</v>
      </c>
      <c r="HL47">
        <v>103</v>
      </c>
      <c r="HM47" s="1">
        <v>2183</v>
      </c>
      <c r="HN47" s="1">
        <v>2286</v>
      </c>
      <c r="HO47">
        <v>262</v>
      </c>
      <c r="HP47" s="1">
        <v>1695</v>
      </c>
      <c r="HQ47" s="1">
        <v>1957</v>
      </c>
      <c r="HR47">
        <v>0</v>
      </c>
      <c r="HS47">
        <v>5</v>
      </c>
      <c r="HT47">
        <v>5</v>
      </c>
      <c r="HU47">
        <v>0</v>
      </c>
      <c r="HV47" s="1">
        <v>4248</v>
      </c>
      <c r="HX47">
        <v>0</v>
      </c>
      <c r="HY47">
        <v>0</v>
      </c>
      <c r="HZ47" s="1">
        <v>4248</v>
      </c>
      <c r="IA47" s="1">
        <v>8621</v>
      </c>
      <c r="IB47" s="1">
        <v>8626</v>
      </c>
      <c r="IC47" s="1">
        <v>146382</v>
      </c>
      <c r="ID47" s="1">
        <v>146382</v>
      </c>
      <c r="IE47" s="1">
        <v>146382</v>
      </c>
      <c r="IF47" s="1">
        <v>65639</v>
      </c>
      <c r="IG47">
        <v>0</v>
      </c>
      <c r="IJ47">
        <v>1</v>
      </c>
      <c r="IK47" s="3">
        <v>2.8999999999999998E-3</v>
      </c>
      <c r="IL47" s="3">
        <v>2.0000000000000001E-4</v>
      </c>
      <c r="IM47" s="3">
        <v>0.39400000000000002</v>
      </c>
      <c r="IN47" s="3">
        <v>0</v>
      </c>
      <c r="IO47" s="3">
        <v>0.32700000000000001</v>
      </c>
      <c r="IP47" s="3">
        <v>6.9999999999999999E-4</v>
      </c>
      <c r="IQ47" s="3">
        <v>0.57840000000000003</v>
      </c>
      <c r="IR47" s="3">
        <v>7.8600000000000003E-2</v>
      </c>
      <c r="IS47" s="3">
        <v>0.44840000000000002</v>
      </c>
      <c r="IT47" s="1">
        <v>3896</v>
      </c>
      <c r="IU47">
        <v>505</v>
      </c>
      <c r="IV47" s="1">
        <v>4401</v>
      </c>
      <c r="IW47" s="3">
        <v>0.2349</v>
      </c>
      <c r="IX47" s="1">
        <v>59721</v>
      </c>
      <c r="IZ47">
        <v>153</v>
      </c>
      <c r="JA47">
        <v>80</v>
      </c>
      <c r="JB47">
        <v>183</v>
      </c>
      <c r="JC47">
        <v>0</v>
      </c>
      <c r="JD47">
        <v>0</v>
      </c>
      <c r="JE47">
        <v>53</v>
      </c>
      <c r="JF47">
        <v>153</v>
      </c>
      <c r="JG47">
        <v>80</v>
      </c>
      <c r="JH47">
        <v>236</v>
      </c>
      <c r="JI47">
        <v>469</v>
      </c>
      <c r="JJ47">
        <v>416</v>
      </c>
      <c r="JK47">
        <v>53</v>
      </c>
      <c r="JL47" s="1">
        <v>1711</v>
      </c>
      <c r="JM47" s="1">
        <v>1039</v>
      </c>
      <c r="JN47" s="1">
        <v>6133</v>
      </c>
      <c r="JO47">
        <v>0</v>
      </c>
      <c r="JP47">
        <v>0</v>
      </c>
      <c r="JQ47">
        <v>720</v>
      </c>
      <c r="JR47" s="1">
        <v>1711</v>
      </c>
      <c r="JS47" s="1">
        <v>1039</v>
      </c>
      <c r="JT47" s="1">
        <v>6853</v>
      </c>
      <c r="JU47" s="1">
        <v>9603</v>
      </c>
      <c r="JV47" s="1">
        <v>8883</v>
      </c>
      <c r="JW47">
        <v>720</v>
      </c>
      <c r="JX47">
        <v>20.48</v>
      </c>
      <c r="JY47">
        <v>11.18</v>
      </c>
      <c r="JZ47">
        <v>29.04</v>
      </c>
      <c r="KA47">
        <v>0.18</v>
      </c>
      <c r="KB47">
        <v>0.71</v>
      </c>
      <c r="KC47">
        <v>0</v>
      </c>
      <c r="KD47">
        <v>0</v>
      </c>
      <c r="KE47">
        <v>0</v>
      </c>
      <c r="KF47">
        <v>0</v>
      </c>
      <c r="KM47" s="1">
        <v>20041</v>
      </c>
      <c r="KN47">
        <v>505</v>
      </c>
      <c r="KO47">
        <v>76</v>
      </c>
      <c r="KQ47">
        <v>-1</v>
      </c>
      <c r="KR47">
        <v>-1</v>
      </c>
      <c r="KS47">
        <v>0</v>
      </c>
      <c r="KT47">
        <v>305</v>
      </c>
      <c r="KU47">
        <v>8</v>
      </c>
      <c r="KV47">
        <v>8</v>
      </c>
      <c r="KW47" s="1">
        <v>6942</v>
      </c>
      <c r="KY47" s="1">
        <v>31012</v>
      </c>
      <c r="KZ47" s="1">
        <v>25308</v>
      </c>
      <c r="LC47" t="s">
        <v>1315</v>
      </c>
      <c r="LD47" t="s">
        <v>689</v>
      </c>
      <c r="LE47" t="s">
        <v>1325</v>
      </c>
      <c r="LF47" t="s">
        <v>1314</v>
      </c>
      <c r="LG47">
        <v>27520</v>
      </c>
      <c r="LI47" t="s">
        <v>1313</v>
      </c>
      <c r="LJ47" t="s">
        <v>1314</v>
      </c>
      <c r="LK47">
        <v>27520</v>
      </c>
      <c r="LM47" t="s">
        <v>1326</v>
      </c>
      <c r="LN47">
        <v>9195535542</v>
      </c>
      <c r="LP47" s="1">
        <v>9200</v>
      </c>
      <c r="LQ47">
        <v>9.25</v>
      </c>
      <c r="LS47" s="1">
        <v>2756</v>
      </c>
      <c r="LT47">
        <v>52</v>
      </c>
      <c r="LX47" t="s">
        <v>1327</v>
      </c>
      <c r="LY47">
        <v>0</v>
      </c>
      <c r="LZ47" t="s">
        <v>738</v>
      </c>
      <c r="MA47">
        <v>40.22</v>
      </c>
      <c r="MB47">
        <v>45.33</v>
      </c>
    </row>
    <row r="48" spans="1:340" x14ac:dyDescent="0.25">
      <c r="A48" t="s">
        <v>1328</v>
      </c>
      <c r="B48">
        <v>0</v>
      </c>
      <c r="C48">
        <v>1375</v>
      </c>
      <c r="D48">
        <v>2017</v>
      </c>
      <c r="E48">
        <v>0</v>
      </c>
      <c r="F48" t="s">
        <v>1328</v>
      </c>
      <c r="G48" t="s">
        <v>1329</v>
      </c>
      <c r="H48" t="s">
        <v>668</v>
      </c>
      <c r="I48" t="s">
        <v>669</v>
      </c>
      <c r="J48" t="s">
        <v>670</v>
      </c>
      <c r="K48" t="s">
        <v>671</v>
      </c>
      <c r="L48" t="s">
        <v>791</v>
      </c>
      <c r="M48" t="s">
        <v>673</v>
      </c>
      <c r="N48" s="1">
        <v>132480</v>
      </c>
      <c r="O48" t="s">
        <v>674</v>
      </c>
      <c r="P48" s="1">
        <v>1006</v>
      </c>
      <c r="Q48">
        <v>235</v>
      </c>
      <c r="R48">
        <v>126</v>
      </c>
      <c r="S48">
        <v>46</v>
      </c>
      <c r="T48">
        <v>-1</v>
      </c>
      <c r="U48">
        <v>883</v>
      </c>
      <c r="V48" s="1">
        <v>41253</v>
      </c>
      <c r="W48" s="1">
        <v>4171</v>
      </c>
      <c r="Z48" t="s">
        <v>1330</v>
      </c>
      <c r="AA48" t="s">
        <v>1331</v>
      </c>
      <c r="AB48">
        <v>28677</v>
      </c>
      <c r="AC48">
        <v>1810</v>
      </c>
      <c r="AD48" t="s">
        <v>1332</v>
      </c>
      <c r="AE48" t="s">
        <v>1331</v>
      </c>
      <c r="AF48">
        <v>28677</v>
      </c>
      <c r="AG48">
        <v>3</v>
      </c>
      <c r="AH48" t="s">
        <v>1333</v>
      </c>
      <c r="AJ48" t="s">
        <v>35</v>
      </c>
      <c r="AK48" t="s">
        <v>1334</v>
      </c>
      <c r="AL48" t="s">
        <v>1335</v>
      </c>
      <c r="AM48" t="s">
        <v>1336</v>
      </c>
      <c r="AN48" t="s">
        <v>1337</v>
      </c>
      <c r="AO48" t="s">
        <v>1338</v>
      </c>
      <c r="AP48" t="s">
        <v>1335</v>
      </c>
      <c r="AQ48" t="s">
        <v>706</v>
      </c>
      <c r="AR48" t="s">
        <v>1336</v>
      </c>
      <c r="AS48" t="s">
        <v>1337</v>
      </c>
      <c r="AT48" t="s">
        <v>1338</v>
      </c>
      <c r="AU48" t="s">
        <v>1339</v>
      </c>
      <c r="BC48">
        <v>1</v>
      </c>
      <c r="BD48">
        <v>2</v>
      </c>
      <c r="BE48">
        <v>0</v>
      </c>
      <c r="BF48">
        <v>0</v>
      </c>
      <c r="BG48">
        <v>3</v>
      </c>
      <c r="BI48" s="1">
        <v>9048</v>
      </c>
      <c r="BJ48">
        <v>6</v>
      </c>
      <c r="BK48">
        <v>1</v>
      </c>
      <c r="BL48">
        <v>7</v>
      </c>
      <c r="BM48">
        <v>23.38</v>
      </c>
      <c r="BN48">
        <v>30.38</v>
      </c>
      <c r="BO48" s="3">
        <v>0.19750000000000001</v>
      </c>
      <c r="BP48" s="1">
        <v>2038</v>
      </c>
      <c r="BQ48" s="4">
        <v>98644</v>
      </c>
      <c r="BT48" s="1">
        <v>67152</v>
      </c>
      <c r="BU48" s="4">
        <v>36348</v>
      </c>
      <c r="BV48" s="4">
        <v>43496</v>
      </c>
      <c r="BW48" s="4">
        <v>39922</v>
      </c>
      <c r="BY48" s="4">
        <v>44606</v>
      </c>
      <c r="BZ48" s="4">
        <v>44606</v>
      </c>
      <c r="CA48" s="4">
        <v>44606</v>
      </c>
      <c r="CC48" s="4">
        <v>63560</v>
      </c>
      <c r="CD48" s="4">
        <v>63560</v>
      </c>
      <c r="CE48" s="1">
        <v>63560</v>
      </c>
      <c r="CK48" s="4">
        <v>44583</v>
      </c>
      <c r="CL48" s="4">
        <v>44583</v>
      </c>
      <c r="CM48" s="1">
        <v>44583</v>
      </c>
      <c r="CZ48" s="4">
        <v>51028</v>
      </c>
      <c r="DA48" s="4">
        <v>51028</v>
      </c>
      <c r="DB48" s="4">
        <v>51028</v>
      </c>
      <c r="DH48" s="4">
        <v>49771</v>
      </c>
      <c r="DI48" s="4">
        <v>49771</v>
      </c>
      <c r="DJ48" s="4">
        <v>49771</v>
      </c>
      <c r="DO48" s="4">
        <v>25774</v>
      </c>
      <c r="DP48" s="4">
        <v>43043</v>
      </c>
      <c r="DQ48" s="4">
        <v>30396</v>
      </c>
      <c r="DV48" s="4">
        <v>0</v>
      </c>
      <c r="DW48" s="4">
        <v>2123900</v>
      </c>
      <c r="DX48" s="4">
        <v>2123900</v>
      </c>
      <c r="DY48" s="4">
        <v>148360</v>
      </c>
      <c r="DZ48" s="4">
        <v>0</v>
      </c>
      <c r="EA48" s="4">
        <v>148360</v>
      </c>
      <c r="EB48" s="4">
        <v>0</v>
      </c>
      <c r="EC48" s="4">
        <v>0</v>
      </c>
      <c r="ED48" s="4">
        <v>0</v>
      </c>
      <c r="EE48" s="4">
        <v>0</v>
      </c>
      <c r="EF48" s="4">
        <v>2272260</v>
      </c>
      <c r="EG48" s="4">
        <v>1142255</v>
      </c>
      <c r="EH48" s="4">
        <v>500985</v>
      </c>
      <c r="EI48" s="4">
        <v>1643240</v>
      </c>
      <c r="EJ48" s="4">
        <v>177338</v>
      </c>
      <c r="EK48" s="4">
        <v>143565</v>
      </c>
      <c r="EL48" s="4">
        <v>2602</v>
      </c>
      <c r="EM48" s="4">
        <v>323505</v>
      </c>
      <c r="EN48" s="4">
        <v>157155</v>
      </c>
      <c r="EO48" s="4">
        <v>2123900</v>
      </c>
      <c r="EP48" s="4">
        <v>148360</v>
      </c>
      <c r="EQ48" s="3">
        <v>6.5299999999999997E-2</v>
      </c>
      <c r="ER48" s="4">
        <v>0</v>
      </c>
      <c r="ES48" s="4">
        <v>0</v>
      </c>
      <c r="ET48" s="4">
        <v>0</v>
      </c>
      <c r="EU48" s="4">
        <v>0</v>
      </c>
      <c r="EV48" s="4">
        <v>0</v>
      </c>
      <c r="EW48" s="4">
        <v>0</v>
      </c>
      <c r="EX48" s="1">
        <v>13852</v>
      </c>
      <c r="EY48" s="1">
        <v>307492</v>
      </c>
      <c r="EZ48" s="1">
        <v>69609</v>
      </c>
      <c r="FA48" s="1">
        <v>10370</v>
      </c>
      <c r="FB48" s="1">
        <v>44990</v>
      </c>
      <c r="FC48" s="1">
        <v>74563</v>
      </c>
      <c r="FD48" s="1">
        <v>3102</v>
      </c>
      <c r="FE48" s="1">
        <v>22767</v>
      </c>
      <c r="FF48" s="1">
        <v>144172</v>
      </c>
      <c r="FG48" s="1">
        <v>13472</v>
      </c>
      <c r="FH48" s="1">
        <v>67757</v>
      </c>
      <c r="FI48" s="1">
        <v>225401</v>
      </c>
      <c r="FJ48" s="1">
        <v>2141</v>
      </c>
      <c r="FK48">
        <v>91</v>
      </c>
      <c r="FM48" s="1">
        <v>225401</v>
      </c>
      <c r="FN48" s="1">
        <v>8224</v>
      </c>
      <c r="FO48">
        <v>134</v>
      </c>
      <c r="FP48">
        <v>0</v>
      </c>
      <c r="FQ48">
        <v>6</v>
      </c>
      <c r="FR48">
        <v>88</v>
      </c>
      <c r="FS48">
        <v>94</v>
      </c>
      <c r="FT48" s="1">
        <v>44141</v>
      </c>
      <c r="FU48" s="1">
        <v>3505</v>
      </c>
      <c r="FV48">
        <v>0</v>
      </c>
      <c r="FW48">
        <v>0</v>
      </c>
      <c r="FX48" s="1">
        <v>8544</v>
      </c>
      <c r="FY48" s="1">
        <v>1573</v>
      </c>
      <c r="FZ48">
        <v>322</v>
      </c>
      <c r="GA48">
        <v>0</v>
      </c>
      <c r="GJ48" s="1">
        <v>11233</v>
      </c>
      <c r="GK48" s="1">
        <v>1777</v>
      </c>
      <c r="GL48">
        <v>212</v>
      </c>
      <c r="GM48">
        <v>100</v>
      </c>
      <c r="GN48" s="1">
        <v>63918</v>
      </c>
      <c r="GO48" s="1">
        <v>6855</v>
      </c>
      <c r="GP48">
        <v>534</v>
      </c>
      <c r="GQ48">
        <v>100</v>
      </c>
      <c r="GR48">
        <v>108</v>
      </c>
      <c r="GT48" s="1">
        <v>124080</v>
      </c>
      <c r="GU48" s="1">
        <v>12496</v>
      </c>
      <c r="GV48" s="1">
        <v>91499</v>
      </c>
      <c r="GW48" s="1">
        <v>47228</v>
      </c>
      <c r="GX48" s="1">
        <v>1804</v>
      </c>
      <c r="GY48" s="1">
        <v>35736</v>
      </c>
      <c r="GZ48" s="1">
        <v>171308</v>
      </c>
      <c r="HA48" s="1">
        <v>14300</v>
      </c>
      <c r="HB48" s="1">
        <v>127235</v>
      </c>
      <c r="HC48" s="1">
        <v>312843</v>
      </c>
      <c r="HD48">
        <v>0</v>
      </c>
      <c r="HE48" s="1">
        <v>314534</v>
      </c>
      <c r="HF48" s="1">
        <v>16991</v>
      </c>
      <c r="HG48" s="1">
        <v>1418</v>
      </c>
      <c r="HH48" s="1">
        <v>1691</v>
      </c>
      <c r="HI48">
        <v>12</v>
      </c>
      <c r="HJ48" s="1">
        <v>18421</v>
      </c>
      <c r="HK48" s="1">
        <v>332955</v>
      </c>
      <c r="HL48">
        <v>126</v>
      </c>
      <c r="HM48" s="1">
        <v>33250</v>
      </c>
      <c r="HN48" s="1">
        <v>33376</v>
      </c>
      <c r="HO48">
        <v>20</v>
      </c>
      <c r="HP48" s="1">
        <v>9416</v>
      </c>
      <c r="HQ48" s="1">
        <v>9436</v>
      </c>
      <c r="HR48">
        <v>0</v>
      </c>
      <c r="HS48">
        <v>104</v>
      </c>
      <c r="HT48">
        <v>104</v>
      </c>
      <c r="HU48" s="1">
        <v>2749</v>
      </c>
      <c r="HV48" s="1">
        <v>45665</v>
      </c>
      <c r="HW48" s="1">
        <v>9840</v>
      </c>
      <c r="HX48" s="1">
        <v>6502</v>
      </c>
      <c r="HY48" s="1">
        <v>16342</v>
      </c>
      <c r="HZ48" s="1">
        <v>62007</v>
      </c>
      <c r="IA48" s="1">
        <v>26427</v>
      </c>
      <c r="IB48" s="1">
        <v>27949</v>
      </c>
      <c r="IC48" s="1">
        <v>378620</v>
      </c>
      <c r="ID48" s="1">
        <v>378620</v>
      </c>
      <c r="IE48" s="1">
        <v>394962</v>
      </c>
      <c r="IF48" s="1">
        <v>164564</v>
      </c>
      <c r="IG48">
        <v>0</v>
      </c>
      <c r="IK48" s="3">
        <v>2.2000000000000001E-3</v>
      </c>
      <c r="IL48" s="3">
        <v>2.9999999999999997E-4</v>
      </c>
      <c r="IM48" s="3">
        <v>0.23219999999999999</v>
      </c>
      <c r="IN48" s="3">
        <v>0</v>
      </c>
      <c r="IO48" s="3">
        <v>0.2079</v>
      </c>
      <c r="IP48" s="3">
        <v>2.9999999999999997E-4</v>
      </c>
      <c r="IQ48" s="3">
        <v>0.73299999999999998</v>
      </c>
      <c r="IR48" s="3">
        <v>4.9000000000000002E-2</v>
      </c>
      <c r="IS48" s="3">
        <v>0.43459999999999999</v>
      </c>
      <c r="IT48" s="1">
        <v>30591</v>
      </c>
      <c r="IU48" s="1">
        <v>30974</v>
      </c>
      <c r="IV48" s="1">
        <v>61565</v>
      </c>
      <c r="IW48" s="3">
        <v>0.4647</v>
      </c>
      <c r="IX48" s="1">
        <v>251707</v>
      </c>
      <c r="IZ48">
        <v>603</v>
      </c>
      <c r="JA48">
        <v>379</v>
      </c>
      <c r="JB48">
        <v>665</v>
      </c>
      <c r="JC48">
        <v>7</v>
      </c>
      <c r="JD48">
        <v>23</v>
      </c>
      <c r="JE48">
        <v>66</v>
      </c>
      <c r="JF48">
        <v>610</v>
      </c>
      <c r="JG48">
        <v>402</v>
      </c>
      <c r="JH48">
        <v>731</v>
      </c>
      <c r="JI48" s="1">
        <v>1743</v>
      </c>
      <c r="JJ48" s="1">
        <v>1647</v>
      </c>
      <c r="JK48">
        <v>96</v>
      </c>
      <c r="JL48" s="1">
        <v>2973</v>
      </c>
      <c r="JM48" s="1">
        <v>3546</v>
      </c>
      <c r="JN48" s="1">
        <v>14890</v>
      </c>
      <c r="JO48">
        <v>157</v>
      </c>
      <c r="JP48">
        <v>588</v>
      </c>
      <c r="JQ48" s="1">
        <v>1710</v>
      </c>
      <c r="JR48" s="1">
        <v>3130</v>
      </c>
      <c r="JS48" s="1">
        <v>4134</v>
      </c>
      <c r="JT48" s="1">
        <v>16600</v>
      </c>
      <c r="JU48" s="1">
        <v>23864</v>
      </c>
      <c r="JV48" s="1">
        <v>21409</v>
      </c>
      <c r="JW48" s="1">
        <v>2455</v>
      </c>
      <c r="JX48">
        <v>13.69</v>
      </c>
      <c r="JY48">
        <v>5.13</v>
      </c>
      <c r="JZ48">
        <v>22.71</v>
      </c>
      <c r="KA48">
        <v>0.13</v>
      </c>
      <c r="KB48">
        <v>0.7</v>
      </c>
      <c r="KM48" s="1">
        <v>53874</v>
      </c>
      <c r="KN48" s="1">
        <v>32103</v>
      </c>
      <c r="KO48" s="1">
        <v>3293</v>
      </c>
      <c r="KQ48" s="1">
        <v>1050</v>
      </c>
      <c r="KR48" s="1">
        <v>10261</v>
      </c>
      <c r="KS48" s="1">
        <v>21272</v>
      </c>
      <c r="KT48" s="1">
        <v>11450</v>
      </c>
      <c r="KU48">
        <v>40</v>
      </c>
      <c r="KV48">
        <v>52</v>
      </c>
      <c r="KW48" s="1">
        <v>68137</v>
      </c>
      <c r="KY48" s="1">
        <v>69436</v>
      </c>
      <c r="KZ48" s="1">
        <v>67275</v>
      </c>
      <c r="LC48" t="s">
        <v>1333</v>
      </c>
      <c r="LD48" t="s">
        <v>709</v>
      </c>
      <c r="LE48" t="s">
        <v>1330</v>
      </c>
      <c r="LF48" t="s">
        <v>1331</v>
      </c>
      <c r="LG48">
        <v>28687</v>
      </c>
      <c r="LH48">
        <v>1810</v>
      </c>
      <c r="LI48" t="s">
        <v>1332</v>
      </c>
      <c r="LJ48" t="s">
        <v>1331</v>
      </c>
      <c r="LK48">
        <v>28687</v>
      </c>
      <c r="LL48">
        <v>1810</v>
      </c>
      <c r="LM48" t="s">
        <v>1334</v>
      </c>
      <c r="LN48">
        <v>7048783090</v>
      </c>
      <c r="LP48" s="1">
        <v>64000</v>
      </c>
      <c r="LQ48">
        <v>31.36</v>
      </c>
      <c r="LS48" s="1">
        <v>9048</v>
      </c>
      <c r="LT48">
        <v>156</v>
      </c>
      <c r="LW48">
        <v>2</v>
      </c>
      <c r="LX48" t="s">
        <v>1340</v>
      </c>
      <c r="LY48">
        <v>0</v>
      </c>
      <c r="LZ48" t="s">
        <v>691</v>
      </c>
      <c r="MA48">
        <v>97.63</v>
      </c>
      <c r="MB48">
        <v>74.5</v>
      </c>
    </row>
    <row r="49" spans="1:340" x14ac:dyDescent="0.25">
      <c r="A49" t="s">
        <v>1341</v>
      </c>
      <c r="B49">
        <v>0</v>
      </c>
      <c r="C49">
        <v>1375</v>
      </c>
      <c r="D49">
        <v>2017</v>
      </c>
      <c r="E49">
        <v>0</v>
      </c>
      <c r="F49" t="s">
        <v>1341</v>
      </c>
      <c r="G49" t="s">
        <v>1342</v>
      </c>
      <c r="H49" t="s">
        <v>668</v>
      </c>
      <c r="I49" t="s">
        <v>899</v>
      </c>
      <c r="J49" t="s">
        <v>870</v>
      </c>
      <c r="K49" t="s">
        <v>671</v>
      </c>
      <c r="L49" t="s">
        <v>900</v>
      </c>
      <c r="M49" t="s">
        <v>673</v>
      </c>
      <c r="N49" s="1">
        <v>10667</v>
      </c>
      <c r="O49" t="s">
        <v>674</v>
      </c>
      <c r="P49">
        <v>127</v>
      </c>
      <c r="Q49">
        <v>50</v>
      </c>
      <c r="R49">
        <v>24</v>
      </c>
      <c r="S49">
        <v>7</v>
      </c>
      <c r="T49" s="1">
        <v>1777</v>
      </c>
      <c r="U49">
        <v>130</v>
      </c>
      <c r="V49" s="1">
        <v>9587</v>
      </c>
      <c r="W49">
        <v>940</v>
      </c>
      <c r="X49" s="1">
        <v>9215</v>
      </c>
      <c r="Y49" s="1">
        <v>13982</v>
      </c>
      <c r="Z49" t="s">
        <v>1343</v>
      </c>
      <c r="AA49" t="s">
        <v>1344</v>
      </c>
      <c r="AB49">
        <v>28086</v>
      </c>
      <c r="AC49">
        <v>3414</v>
      </c>
      <c r="AD49" t="s">
        <v>1343</v>
      </c>
      <c r="AE49" t="s">
        <v>1344</v>
      </c>
      <c r="AF49">
        <v>28086</v>
      </c>
      <c r="AG49">
        <v>2</v>
      </c>
      <c r="AH49" t="s">
        <v>1345</v>
      </c>
      <c r="AJ49" t="s">
        <v>904</v>
      </c>
      <c r="AK49" t="s">
        <v>953</v>
      </c>
      <c r="AL49" t="s">
        <v>1346</v>
      </c>
      <c r="AM49" t="s">
        <v>1347</v>
      </c>
      <c r="AN49" t="s">
        <v>1348</v>
      </c>
      <c r="AO49" t="s">
        <v>1349</v>
      </c>
      <c r="AP49" t="s">
        <v>1346</v>
      </c>
      <c r="AQ49" t="s">
        <v>36</v>
      </c>
      <c r="AR49" t="s">
        <v>1347</v>
      </c>
      <c r="AS49" t="s">
        <v>1348</v>
      </c>
      <c r="AT49" t="s">
        <v>1349</v>
      </c>
      <c r="AU49" t="s">
        <v>1350</v>
      </c>
      <c r="BC49">
        <v>1</v>
      </c>
      <c r="BD49">
        <v>0</v>
      </c>
      <c r="BE49">
        <v>0</v>
      </c>
      <c r="BF49">
        <v>1</v>
      </c>
      <c r="BG49">
        <v>2</v>
      </c>
      <c r="BI49" s="1">
        <v>2704</v>
      </c>
      <c r="BJ49">
        <v>2</v>
      </c>
      <c r="BK49">
        <v>1</v>
      </c>
      <c r="BL49">
        <v>3</v>
      </c>
      <c r="BM49">
        <v>5</v>
      </c>
      <c r="BN49">
        <v>8</v>
      </c>
      <c r="BO49" s="3">
        <v>0.25</v>
      </c>
      <c r="BP49">
        <v>200</v>
      </c>
      <c r="BQ49" s="4">
        <v>56613</v>
      </c>
      <c r="BT49">
        <v>0</v>
      </c>
      <c r="DK49" s="4">
        <v>29186</v>
      </c>
      <c r="DL49" s="4">
        <v>43328</v>
      </c>
      <c r="DM49" s="4">
        <v>34693</v>
      </c>
      <c r="DO49" s="4">
        <v>26473</v>
      </c>
      <c r="DP49" s="4">
        <v>39299</v>
      </c>
      <c r="DQ49" s="4">
        <v>28515</v>
      </c>
      <c r="DV49" s="4">
        <v>626476</v>
      </c>
      <c r="DW49" s="4">
        <v>70000</v>
      </c>
      <c r="DX49" s="4">
        <v>696476</v>
      </c>
      <c r="DY49" s="4">
        <v>9117</v>
      </c>
      <c r="DZ49" s="4">
        <v>0</v>
      </c>
      <c r="EA49" s="4">
        <v>9117</v>
      </c>
      <c r="EB49" s="4">
        <v>35757</v>
      </c>
      <c r="EC49" s="4">
        <v>0</v>
      </c>
      <c r="ED49" s="4">
        <v>35757</v>
      </c>
      <c r="EE49" s="4">
        <v>0</v>
      </c>
      <c r="EF49" s="4">
        <v>741350</v>
      </c>
      <c r="EG49" s="4">
        <v>261586</v>
      </c>
      <c r="EH49" s="4">
        <v>150001</v>
      </c>
      <c r="EI49" s="4">
        <v>411587</v>
      </c>
      <c r="EJ49" s="4">
        <v>55548</v>
      </c>
      <c r="EK49" s="4">
        <v>43400</v>
      </c>
      <c r="EL49" s="4">
        <v>0</v>
      </c>
      <c r="EM49" s="4">
        <v>98948</v>
      </c>
      <c r="EN49" s="4">
        <v>118595</v>
      </c>
      <c r="EO49" s="4">
        <v>629130</v>
      </c>
      <c r="EP49" s="4">
        <v>112220</v>
      </c>
      <c r="EQ49" s="3">
        <v>0.15140000000000001</v>
      </c>
      <c r="ER49" s="4">
        <v>0</v>
      </c>
      <c r="ES49" s="4">
        <v>0</v>
      </c>
      <c r="ET49" s="4">
        <v>0</v>
      </c>
      <c r="EU49" s="4">
        <v>0</v>
      </c>
      <c r="EV49" s="4">
        <v>0</v>
      </c>
      <c r="EW49" s="4">
        <v>0</v>
      </c>
      <c r="EX49" s="1">
        <v>17960</v>
      </c>
      <c r="EY49" s="1">
        <v>138966</v>
      </c>
      <c r="EZ49" s="1">
        <v>9574</v>
      </c>
      <c r="FA49" s="1">
        <v>1619</v>
      </c>
      <c r="FB49" s="1">
        <v>11570</v>
      </c>
      <c r="FC49" s="1">
        <v>11404</v>
      </c>
      <c r="FD49">
        <v>0</v>
      </c>
      <c r="FE49" s="1">
        <v>5246</v>
      </c>
      <c r="FF49" s="1">
        <v>20978</v>
      </c>
      <c r="FG49" s="1">
        <v>1619</v>
      </c>
      <c r="FH49" s="1">
        <v>16816</v>
      </c>
      <c r="FI49" s="1">
        <v>39413</v>
      </c>
      <c r="FJ49">
        <v>0</v>
      </c>
      <c r="FK49">
        <v>85</v>
      </c>
      <c r="FM49" s="1">
        <v>39413</v>
      </c>
      <c r="FN49">
        <v>673</v>
      </c>
      <c r="FO49" s="1">
        <v>2814</v>
      </c>
      <c r="FP49">
        <v>77</v>
      </c>
      <c r="FQ49">
        <v>-1</v>
      </c>
      <c r="FR49">
        <v>88</v>
      </c>
      <c r="FS49">
        <v>87</v>
      </c>
      <c r="FT49" s="1">
        <v>44141</v>
      </c>
      <c r="FU49" s="1">
        <v>3505</v>
      </c>
      <c r="FV49">
        <v>0</v>
      </c>
      <c r="FW49">
        <v>0</v>
      </c>
      <c r="FX49" s="1">
        <v>8544</v>
      </c>
      <c r="FY49" s="1">
        <v>1573</v>
      </c>
      <c r="FZ49">
        <v>322</v>
      </c>
      <c r="GA49">
        <v>0</v>
      </c>
      <c r="GB49" s="1">
        <v>26436</v>
      </c>
      <c r="GC49" s="1">
        <v>1747</v>
      </c>
      <c r="GD49">
        <v>278</v>
      </c>
      <c r="GE49">
        <v>0</v>
      </c>
      <c r="GJ49">
        <v>0</v>
      </c>
      <c r="GK49" s="1">
        <v>9171</v>
      </c>
      <c r="GL49">
        <v>50</v>
      </c>
      <c r="GM49">
        <v>50</v>
      </c>
      <c r="GN49" s="1">
        <v>79121</v>
      </c>
      <c r="GO49" s="1">
        <v>15996</v>
      </c>
      <c r="GP49">
        <v>650</v>
      </c>
      <c r="GQ49">
        <v>50</v>
      </c>
      <c r="GR49">
        <v>53</v>
      </c>
      <c r="GT49" s="1">
        <v>18753</v>
      </c>
      <c r="GU49" s="1">
        <v>3316</v>
      </c>
      <c r="GV49" s="1">
        <v>26155</v>
      </c>
      <c r="GW49" s="1">
        <v>6864</v>
      </c>
      <c r="GX49">
        <v>31</v>
      </c>
      <c r="GY49" s="1">
        <v>5734</v>
      </c>
      <c r="GZ49" s="1">
        <v>25617</v>
      </c>
      <c r="HA49" s="1">
        <v>3347</v>
      </c>
      <c r="HB49" s="1">
        <v>31889</v>
      </c>
      <c r="HC49" s="1">
        <v>60853</v>
      </c>
      <c r="HD49">
        <v>353</v>
      </c>
      <c r="HE49" s="1">
        <v>62480</v>
      </c>
      <c r="HF49" s="1">
        <v>1591</v>
      </c>
      <c r="HG49" s="1">
        <v>11329</v>
      </c>
      <c r="HH49" s="1">
        <v>1274</v>
      </c>
      <c r="HI49">
        <v>16</v>
      </c>
      <c r="HJ49" s="1">
        <v>12936</v>
      </c>
      <c r="HK49" s="1">
        <v>75416</v>
      </c>
      <c r="HL49">
        <v>16</v>
      </c>
      <c r="HM49" s="1">
        <v>3402</v>
      </c>
      <c r="HN49" s="1">
        <v>3418</v>
      </c>
      <c r="HO49">
        <v>166</v>
      </c>
      <c r="HP49">
        <v>575</v>
      </c>
      <c r="HQ49">
        <v>741</v>
      </c>
      <c r="HR49">
        <v>0</v>
      </c>
      <c r="HS49">
        <v>19</v>
      </c>
      <c r="HT49">
        <v>19</v>
      </c>
      <c r="HU49">
        <v>82</v>
      </c>
      <c r="HV49" s="1">
        <v>4260</v>
      </c>
      <c r="HW49" s="1">
        <v>1408</v>
      </c>
      <c r="HX49" s="1">
        <v>16050</v>
      </c>
      <c r="HY49" s="1">
        <v>17458</v>
      </c>
      <c r="HZ49" s="1">
        <v>21718</v>
      </c>
      <c r="IA49" s="1">
        <v>2332</v>
      </c>
      <c r="IB49" s="1">
        <v>13680</v>
      </c>
      <c r="IC49" s="1">
        <v>79676</v>
      </c>
      <c r="ID49" s="1">
        <v>79676</v>
      </c>
      <c r="IE49" s="1">
        <v>97134</v>
      </c>
      <c r="IF49" s="1">
        <v>29471</v>
      </c>
      <c r="IG49">
        <v>20</v>
      </c>
      <c r="IJ49">
        <v>1</v>
      </c>
      <c r="IK49" s="3">
        <v>2.4899999999999999E-2</v>
      </c>
      <c r="IL49" s="3">
        <v>5.9999999999999995E-4</v>
      </c>
      <c r="IM49" s="3">
        <v>0.6895</v>
      </c>
      <c r="IN49" s="3">
        <v>0</v>
      </c>
      <c r="IO49" s="3">
        <v>0.56940000000000002</v>
      </c>
      <c r="IP49" s="3">
        <v>5.9999999999999995E-4</v>
      </c>
      <c r="IQ49" s="3">
        <v>0.28360000000000002</v>
      </c>
      <c r="IR49" s="3">
        <v>0.12</v>
      </c>
      <c r="IS49" s="3">
        <v>0.36990000000000001</v>
      </c>
      <c r="IT49" s="1">
        <v>13423</v>
      </c>
      <c r="IU49">
        <v>6</v>
      </c>
      <c r="IV49" s="1">
        <v>13429</v>
      </c>
      <c r="IW49" s="3">
        <v>1.2588999999999999</v>
      </c>
      <c r="IX49" s="1">
        <v>84447</v>
      </c>
      <c r="IZ49">
        <v>137</v>
      </c>
      <c r="JA49">
        <v>13</v>
      </c>
      <c r="JB49">
        <v>138</v>
      </c>
      <c r="JC49">
        <v>9</v>
      </c>
      <c r="JD49">
        <v>4</v>
      </c>
      <c r="JE49">
        <v>162</v>
      </c>
      <c r="JF49">
        <v>146</v>
      </c>
      <c r="JG49">
        <v>17</v>
      </c>
      <c r="JH49">
        <v>300</v>
      </c>
      <c r="JI49">
        <v>463</v>
      </c>
      <c r="JJ49">
        <v>288</v>
      </c>
      <c r="JK49">
        <v>175</v>
      </c>
      <c r="JL49" s="1">
        <v>1414</v>
      </c>
      <c r="JM49">
        <v>254</v>
      </c>
      <c r="JN49" s="1">
        <v>3608</v>
      </c>
      <c r="JO49">
        <v>218</v>
      </c>
      <c r="JP49">
        <v>920</v>
      </c>
      <c r="JQ49" s="1">
        <v>4395</v>
      </c>
      <c r="JR49" s="1">
        <v>1632</v>
      </c>
      <c r="JS49" s="1">
        <v>1174</v>
      </c>
      <c r="JT49" s="1">
        <v>8003</v>
      </c>
      <c r="JU49" s="1">
        <v>10809</v>
      </c>
      <c r="JV49" s="1">
        <v>5276</v>
      </c>
      <c r="JW49" s="1">
        <v>5533</v>
      </c>
      <c r="JX49">
        <v>23.35</v>
      </c>
      <c r="JY49">
        <v>11.18</v>
      </c>
      <c r="JZ49">
        <v>26.68</v>
      </c>
      <c r="KA49">
        <v>0.15</v>
      </c>
      <c r="KB49">
        <v>0.74</v>
      </c>
      <c r="KC49">
        <v>16</v>
      </c>
      <c r="KD49">
        <v>64</v>
      </c>
      <c r="KE49">
        <v>23</v>
      </c>
      <c r="KF49">
        <v>97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 s="1">
        <v>5901</v>
      </c>
      <c r="KN49" s="1">
        <v>3902</v>
      </c>
      <c r="KO49">
        <v>651</v>
      </c>
      <c r="KQ49">
        <v>73</v>
      </c>
      <c r="KR49" s="1">
        <v>1859</v>
      </c>
      <c r="KS49" s="1">
        <v>4800</v>
      </c>
      <c r="KT49" s="1">
        <v>3698</v>
      </c>
      <c r="KU49">
        <v>11</v>
      </c>
      <c r="KV49">
        <v>29</v>
      </c>
      <c r="KW49" s="1">
        <v>21927</v>
      </c>
      <c r="KY49" s="1">
        <v>35322</v>
      </c>
      <c r="KZ49" s="1">
        <v>20075</v>
      </c>
      <c r="LC49" t="s">
        <v>1345</v>
      </c>
      <c r="LD49" t="s">
        <v>689</v>
      </c>
      <c r="LE49" t="s">
        <v>1343</v>
      </c>
      <c r="LF49" t="s">
        <v>1344</v>
      </c>
      <c r="LG49">
        <v>28086</v>
      </c>
      <c r="LH49">
        <v>3414</v>
      </c>
      <c r="LI49" t="s">
        <v>1343</v>
      </c>
      <c r="LJ49" t="s">
        <v>1344</v>
      </c>
      <c r="LK49">
        <v>28086</v>
      </c>
      <c r="LL49">
        <v>3414</v>
      </c>
      <c r="LM49" t="s">
        <v>953</v>
      </c>
      <c r="LN49">
        <v>7047392371</v>
      </c>
      <c r="LO49">
        <v>7047344499</v>
      </c>
      <c r="LP49" s="1">
        <v>13457</v>
      </c>
      <c r="LQ49">
        <v>8.5</v>
      </c>
      <c r="LS49" s="1">
        <v>2704</v>
      </c>
      <c r="LT49">
        <v>52</v>
      </c>
      <c r="LW49">
        <v>2</v>
      </c>
      <c r="LX49" t="s">
        <v>1351</v>
      </c>
      <c r="LY49">
        <v>0</v>
      </c>
      <c r="LZ49" t="s">
        <v>691</v>
      </c>
      <c r="MA49">
        <v>2.08</v>
      </c>
      <c r="MB49">
        <v>10.96</v>
      </c>
    </row>
    <row r="50" spans="1:340" x14ac:dyDescent="0.25">
      <c r="A50" t="s">
        <v>1352</v>
      </c>
      <c r="B50">
        <v>0</v>
      </c>
      <c r="C50">
        <v>1375</v>
      </c>
      <c r="D50">
        <v>2017</v>
      </c>
      <c r="E50">
        <v>0</v>
      </c>
      <c r="F50" t="s">
        <v>1352</v>
      </c>
      <c r="G50" t="s">
        <v>1353</v>
      </c>
      <c r="H50" t="s">
        <v>668</v>
      </c>
      <c r="I50" t="s">
        <v>669</v>
      </c>
      <c r="J50" t="s">
        <v>670</v>
      </c>
      <c r="K50" t="s">
        <v>671</v>
      </c>
      <c r="L50" t="s">
        <v>672</v>
      </c>
      <c r="M50" t="s">
        <v>673</v>
      </c>
      <c r="N50" s="1">
        <v>58908</v>
      </c>
      <c r="O50" t="s">
        <v>674</v>
      </c>
      <c r="P50">
        <v>123</v>
      </c>
      <c r="Q50">
        <v>10</v>
      </c>
      <c r="R50">
        <v>19</v>
      </c>
      <c r="S50">
        <v>2</v>
      </c>
      <c r="T50">
        <v>947</v>
      </c>
      <c r="U50">
        <v>50</v>
      </c>
      <c r="V50" s="1">
        <v>9558</v>
      </c>
      <c r="W50">
        <v>727</v>
      </c>
      <c r="Z50" t="s">
        <v>1354</v>
      </c>
      <c r="AA50" t="s">
        <v>1355</v>
      </c>
      <c r="AB50">
        <v>27330</v>
      </c>
      <c r="AC50">
        <v>4399</v>
      </c>
      <c r="AD50" t="s">
        <v>1354</v>
      </c>
      <c r="AE50" t="s">
        <v>1355</v>
      </c>
      <c r="AF50">
        <v>27330</v>
      </c>
      <c r="AG50">
        <v>2</v>
      </c>
      <c r="AH50" t="s">
        <v>1356</v>
      </c>
      <c r="AJ50" t="s">
        <v>35</v>
      </c>
      <c r="AK50" t="s">
        <v>1357</v>
      </c>
      <c r="AL50" t="s">
        <v>1358</v>
      </c>
      <c r="AM50" t="s">
        <v>1359</v>
      </c>
      <c r="AN50" t="s">
        <v>1360</v>
      </c>
      <c r="AO50" t="s">
        <v>1361</v>
      </c>
      <c r="AP50" t="s">
        <v>1358</v>
      </c>
      <c r="AQ50" t="s">
        <v>36</v>
      </c>
      <c r="AR50" t="s">
        <v>1359</v>
      </c>
      <c r="AS50" t="s">
        <v>1360</v>
      </c>
      <c r="AT50" t="s">
        <v>1361</v>
      </c>
      <c r="AU50" t="s">
        <v>1362</v>
      </c>
      <c r="BC50">
        <v>1</v>
      </c>
      <c r="BD50">
        <v>1</v>
      </c>
      <c r="BE50">
        <v>0</v>
      </c>
      <c r="BF50">
        <v>2</v>
      </c>
      <c r="BG50">
        <v>4</v>
      </c>
      <c r="BI50" s="1">
        <v>3484</v>
      </c>
      <c r="BJ50">
        <v>3</v>
      </c>
      <c r="BK50">
        <v>0</v>
      </c>
      <c r="BL50">
        <v>3</v>
      </c>
      <c r="BM50">
        <v>5</v>
      </c>
      <c r="BN50">
        <v>8</v>
      </c>
      <c r="BO50" s="3">
        <v>0.375</v>
      </c>
      <c r="BP50">
        <v>270</v>
      </c>
      <c r="BQ50" s="4">
        <v>67500</v>
      </c>
      <c r="CZ50" s="4">
        <v>41538</v>
      </c>
      <c r="DA50" s="4">
        <v>53792</v>
      </c>
      <c r="DB50" s="4">
        <v>41538</v>
      </c>
      <c r="DD50" s="4">
        <v>37966</v>
      </c>
      <c r="DE50" s="4">
        <v>60366</v>
      </c>
      <c r="DF50" s="4">
        <v>38725</v>
      </c>
      <c r="DO50" s="4">
        <v>25329</v>
      </c>
      <c r="DP50" s="4">
        <v>40273</v>
      </c>
      <c r="DQ50" s="4">
        <v>31000</v>
      </c>
      <c r="DV50" s="4">
        <v>0</v>
      </c>
      <c r="DW50" s="4">
        <v>472808</v>
      </c>
      <c r="DX50" s="4">
        <v>472808</v>
      </c>
      <c r="DY50" s="4">
        <v>110935</v>
      </c>
      <c r="DZ50" s="4">
        <v>0</v>
      </c>
      <c r="EA50" s="4">
        <v>110935</v>
      </c>
      <c r="EB50" s="4">
        <v>0</v>
      </c>
      <c r="EC50" s="4">
        <v>0</v>
      </c>
      <c r="ED50" s="4">
        <v>0</v>
      </c>
      <c r="EE50" s="4">
        <v>21106</v>
      </c>
      <c r="EF50" s="4">
        <v>604849</v>
      </c>
      <c r="EG50" s="4">
        <v>357724</v>
      </c>
      <c r="EH50" s="4">
        <v>85228</v>
      </c>
      <c r="EI50" s="4">
        <v>442952</v>
      </c>
      <c r="EJ50" s="4">
        <v>65174</v>
      </c>
      <c r="EK50" s="4">
        <v>7800</v>
      </c>
      <c r="EL50" s="4">
        <v>16020</v>
      </c>
      <c r="EM50" s="4">
        <v>88994</v>
      </c>
      <c r="EN50" s="4">
        <v>72903</v>
      </c>
      <c r="EO50" s="4">
        <v>604849</v>
      </c>
      <c r="EP50" s="4">
        <v>0</v>
      </c>
      <c r="EQ50" s="3">
        <v>0</v>
      </c>
      <c r="ER50" s="4">
        <v>0</v>
      </c>
      <c r="ES50" s="4">
        <v>0</v>
      </c>
      <c r="ET50" s="4">
        <v>0</v>
      </c>
      <c r="EU50" s="4">
        <v>0</v>
      </c>
      <c r="EV50" s="4">
        <v>0</v>
      </c>
      <c r="EW50" s="4">
        <v>280</v>
      </c>
      <c r="EX50" s="1">
        <v>13286</v>
      </c>
      <c r="EY50" s="1">
        <v>215927</v>
      </c>
      <c r="EZ50" s="1">
        <v>33149</v>
      </c>
      <c r="FA50" s="1">
        <v>1399</v>
      </c>
      <c r="FB50" s="1">
        <v>21282</v>
      </c>
      <c r="FC50" s="1">
        <v>46491</v>
      </c>
      <c r="FD50">
        <v>219</v>
      </c>
      <c r="FE50" s="1">
        <v>18468</v>
      </c>
      <c r="FF50" s="1">
        <v>79640</v>
      </c>
      <c r="FG50" s="1">
        <v>1618</v>
      </c>
      <c r="FH50" s="1">
        <v>39750</v>
      </c>
      <c r="FI50" s="1">
        <v>121008</v>
      </c>
      <c r="FJ50">
        <v>152</v>
      </c>
      <c r="FK50">
        <v>95</v>
      </c>
      <c r="FM50" s="1">
        <v>121008</v>
      </c>
      <c r="FN50" s="1">
        <v>3289</v>
      </c>
      <c r="FO50" s="1">
        <v>4745</v>
      </c>
      <c r="FP50">
        <v>4</v>
      </c>
      <c r="FQ50">
        <v>0</v>
      </c>
      <c r="FR50">
        <v>88</v>
      </c>
      <c r="FS50">
        <v>88</v>
      </c>
      <c r="FT50" s="1">
        <v>44141</v>
      </c>
      <c r="FU50" s="1">
        <v>3505</v>
      </c>
      <c r="FV50">
        <v>0</v>
      </c>
      <c r="FW50">
        <v>0</v>
      </c>
      <c r="FX50" s="1">
        <v>8544</v>
      </c>
      <c r="FY50" s="1">
        <v>1573</v>
      </c>
      <c r="FZ50">
        <v>322</v>
      </c>
      <c r="GA50">
        <v>0</v>
      </c>
      <c r="GB50" s="1">
        <v>26436</v>
      </c>
      <c r="GC50" s="1">
        <v>1747</v>
      </c>
      <c r="GD50">
        <v>278</v>
      </c>
      <c r="GE50">
        <v>0</v>
      </c>
      <c r="GJ50">
        <v>0</v>
      </c>
      <c r="GK50">
        <v>0</v>
      </c>
      <c r="GL50">
        <v>0</v>
      </c>
      <c r="GM50">
        <v>0</v>
      </c>
      <c r="GN50" s="1">
        <v>79121</v>
      </c>
      <c r="GO50" s="1">
        <v>6825</v>
      </c>
      <c r="GP50">
        <v>600</v>
      </c>
      <c r="GQ50">
        <v>0</v>
      </c>
      <c r="GR50">
        <v>34</v>
      </c>
      <c r="GT50" s="1">
        <v>29373</v>
      </c>
      <c r="GU50" s="1">
        <v>1844</v>
      </c>
      <c r="GV50" s="1">
        <v>19002</v>
      </c>
      <c r="GW50" s="1">
        <v>8257</v>
      </c>
      <c r="GX50">
        <v>329</v>
      </c>
      <c r="GY50" s="1">
        <v>7611</v>
      </c>
      <c r="GZ50" s="1">
        <v>37630</v>
      </c>
      <c r="HA50" s="1">
        <v>2173</v>
      </c>
      <c r="HB50" s="1">
        <v>26613</v>
      </c>
      <c r="HC50" s="1">
        <v>66416</v>
      </c>
      <c r="HD50">
        <v>345</v>
      </c>
      <c r="HE50" s="1">
        <v>67038</v>
      </c>
      <c r="HF50" s="1">
        <v>5470</v>
      </c>
      <c r="HG50" s="1">
        <v>18918</v>
      </c>
      <c r="HH50">
        <v>277</v>
      </c>
      <c r="HI50">
        <v>202</v>
      </c>
      <c r="HJ50" s="1">
        <v>24590</v>
      </c>
      <c r="HK50" s="1">
        <v>91628</v>
      </c>
      <c r="HL50">
        <v>29</v>
      </c>
      <c r="HM50" s="1">
        <v>11477</v>
      </c>
      <c r="HN50" s="1">
        <v>11506</v>
      </c>
      <c r="HO50">
        <v>242</v>
      </c>
      <c r="HP50" s="1">
        <v>1688</v>
      </c>
      <c r="HQ50" s="1">
        <v>1930</v>
      </c>
      <c r="HR50">
        <v>0</v>
      </c>
      <c r="HS50">
        <v>17</v>
      </c>
      <c r="HT50">
        <v>17</v>
      </c>
      <c r="HU50">
        <v>509</v>
      </c>
      <c r="HV50" s="1">
        <v>13962</v>
      </c>
      <c r="HW50" s="1">
        <v>1476</v>
      </c>
      <c r="HX50" s="1">
        <v>5768</v>
      </c>
      <c r="HY50" s="1">
        <v>7244</v>
      </c>
      <c r="HZ50" s="1">
        <v>21206</v>
      </c>
      <c r="IA50" s="1">
        <v>7400</v>
      </c>
      <c r="IB50" s="1">
        <v>26335</v>
      </c>
      <c r="IC50" s="1">
        <v>105590</v>
      </c>
      <c r="ID50" s="1">
        <v>105590</v>
      </c>
      <c r="IE50" s="1">
        <v>112834</v>
      </c>
      <c r="IF50" s="1">
        <v>26698</v>
      </c>
      <c r="IG50">
        <v>22</v>
      </c>
      <c r="IJ50">
        <v>2</v>
      </c>
      <c r="IK50" s="3">
        <v>2.4799999999999999E-2</v>
      </c>
      <c r="IL50" s="3">
        <v>4.0000000000000002E-4</v>
      </c>
      <c r="IM50" s="3">
        <v>0.40079999999999999</v>
      </c>
      <c r="IN50" s="3">
        <v>0</v>
      </c>
      <c r="IO50" s="3">
        <v>0.3664</v>
      </c>
      <c r="IP50" s="3">
        <v>4.0000000000000002E-4</v>
      </c>
      <c r="IQ50" s="3">
        <v>0.56040000000000001</v>
      </c>
      <c r="IR50" s="3">
        <v>4.6800000000000001E-2</v>
      </c>
      <c r="IS50" s="3">
        <v>0.25280000000000002</v>
      </c>
      <c r="IT50" s="1">
        <v>27680</v>
      </c>
      <c r="IU50" s="1">
        <v>7197</v>
      </c>
      <c r="IV50" s="1">
        <v>34877</v>
      </c>
      <c r="IW50" s="3">
        <v>0.59209999999999996</v>
      </c>
      <c r="IX50" s="1">
        <v>195884</v>
      </c>
      <c r="IZ50">
        <v>110</v>
      </c>
      <c r="JA50">
        <v>7</v>
      </c>
      <c r="JB50">
        <v>136</v>
      </c>
      <c r="JC50">
        <v>2</v>
      </c>
      <c r="JD50">
        <v>0</v>
      </c>
      <c r="JE50">
        <v>36</v>
      </c>
      <c r="JF50">
        <v>112</v>
      </c>
      <c r="JG50">
        <v>7</v>
      </c>
      <c r="JH50">
        <v>172</v>
      </c>
      <c r="JI50">
        <v>291</v>
      </c>
      <c r="JJ50">
        <v>253</v>
      </c>
      <c r="JK50">
        <v>38</v>
      </c>
      <c r="JL50">
        <v>420</v>
      </c>
      <c r="JM50">
        <v>50</v>
      </c>
      <c r="JN50" s="1">
        <v>3807</v>
      </c>
      <c r="JO50">
        <v>100</v>
      </c>
      <c r="JP50">
        <v>0</v>
      </c>
      <c r="JQ50" s="1">
        <v>2908</v>
      </c>
      <c r="JR50">
        <v>520</v>
      </c>
      <c r="JS50">
        <v>50</v>
      </c>
      <c r="JT50" s="1">
        <v>6715</v>
      </c>
      <c r="JU50" s="1">
        <v>7285</v>
      </c>
      <c r="JV50" s="1">
        <v>4277</v>
      </c>
      <c r="JW50" s="1">
        <v>3008</v>
      </c>
      <c r="JX50">
        <v>25.03</v>
      </c>
      <c r="JY50">
        <v>4.6399999999999997</v>
      </c>
      <c r="JZ50">
        <v>39.04</v>
      </c>
      <c r="KA50">
        <v>7.0000000000000007E-2</v>
      </c>
      <c r="KB50">
        <v>0.92</v>
      </c>
      <c r="KC50">
        <v>15</v>
      </c>
      <c r="KD50">
        <v>58</v>
      </c>
      <c r="KE50">
        <v>48</v>
      </c>
      <c r="KF50">
        <v>194</v>
      </c>
      <c r="KM50" s="1">
        <v>16786</v>
      </c>
      <c r="KN50" s="1">
        <v>7084</v>
      </c>
      <c r="KO50" s="1">
        <v>1712</v>
      </c>
      <c r="KQ50">
        <v>348</v>
      </c>
      <c r="KR50" s="1">
        <v>2088</v>
      </c>
      <c r="KS50" s="1">
        <v>8050</v>
      </c>
      <c r="KT50" s="1">
        <v>8568</v>
      </c>
      <c r="KU50">
        <v>13</v>
      </c>
      <c r="KV50">
        <v>25</v>
      </c>
      <c r="KW50" s="1">
        <v>22500</v>
      </c>
      <c r="KY50" s="1">
        <v>28657</v>
      </c>
      <c r="LC50" t="s">
        <v>1363</v>
      </c>
      <c r="LD50" t="s">
        <v>709</v>
      </c>
      <c r="LE50" t="s">
        <v>1354</v>
      </c>
      <c r="LF50" t="s">
        <v>1355</v>
      </c>
      <c r="LG50">
        <v>27330</v>
      </c>
      <c r="LH50">
        <v>4399</v>
      </c>
      <c r="LI50" t="s">
        <v>1354</v>
      </c>
      <c r="LJ50" t="s">
        <v>1355</v>
      </c>
      <c r="LK50">
        <v>27330</v>
      </c>
      <c r="LL50">
        <v>4399</v>
      </c>
      <c r="LM50" t="s">
        <v>1357</v>
      </c>
      <c r="LN50">
        <v>9197184665</v>
      </c>
      <c r="LO50">
        <v>9197751832</v>
      </c>
      <c r="LP50" s="1">
        <v>19578</v>
      </c>
      <c r="LQ50">
        <v>9.1</v>
      </c>
      <c r="LS50" s="1">
        <v>3484</v>
      </c>
      <c r="LT50">
        <v>104</v>
      </c>
      <c r="LW50">
        <v>2</v>
      </c>
      <c r="LX50" t="s">
        <v>1364</v>
      </c>
      <c r="LY50">
        <v>0</v>
      </c>
      <c r="LZ50" t="s">
        <v>691</v>
      </c>
      <c r="MA50">
        <v>76.099999999999994</v>
      </c>
      <c r="MB50">
        <v>89</v>
      </c>
    </row>
    <row r="51" spans="1:340" x14ac:dyDescent="0.25">
      <c r="A51" t="s">
        <v>1365</v>
      </c>
      <c r="B51">
        <v>0</v>
      </c>
      <c r="C51">
        <v>1375</v>
      </c>
      <c r="D51">
        <v>2017</v>
      </c>
      <c r="E51">
        <v>0</v>
      </c>
      <c r="F51" t="s">
        <v>1365</v>
      </c>
      <c r="G51" t="s">
        <v>1366</v>
      </c>
      <c r="H51" t="s">
        <v>668</v>
      </c>
      <c r="I51" t="s">
        <v>1367</v>
      </c>
      <c r="J51" t="s">
        <v>725</v>
      </c>
      <c r="K51" t="s">
        <v>671</v>
      </c>
      <c r="L51" t="s">
        <v>672</v>
      </c>
      <c r="M51" t="s">
        <v>673</v>
      </c>
      <c r="N51" s="1">
        <v>81397</v>
      </c>
      <c r="O51" t="s">
        <v>674</v>
      </c>
      <c r="P51">
        <v>191</v>
      </c>
      <c r="Q51">
        <v>17</v>
      </c>
      <c r="R51">
        <v>22</v>
      </c>
      <c r="S51">
        <v>14</v>
      </c>
      <c r="T51" s="1">
        <v>1126</v>
      </c>
      <c r="U51">
        <v>312</v>
      </c>
      <c r="V51" s="1">
        <v>7633</v>
      </c>
      <c r="X51" s="1">
        <v>65615</v>
      </c>
      <c r="Y51" s="1">
        <v>8217</v>
      </c>
      <c r="Z51" t="s">
        <v>1368</v>
      </c>
      <c r="AA51" t="s">
        <v>1369</v>
      </c>
      <c r="AB51">
        <v>28092</v>
      </c>
      <c r="AC51">
        <v>3416</v>
      </c>
      <c r="AD51" t="s">
        <v>1368</v>
      </c>
      <c r="AE51" t="s">
        <v>1369</v>
      </c>
      <c r="AF51">
        <v>28092</v>
      </c>
      <c r="AG51">
        <v>3</v>
      </c>
      <c r="AH51" t="s">
        <v>1370</v>
      </c>
      <c r="AJ51" t="s">
        <v>35</v>
      </c>
      <c r="AK51" t="s">
        <v>1371</v>
      </c>
      <c r="AL51" t="s">
        <v>1372</v>
      </c>
      <c r="AM51" t="s">
        <v>1373</v>
      </c>
      <c r="AN51" t="s">
        <v>1374</v>
      </c>
      <c r="AO51" t="s">
        <v>1375</v>
      </c>
      <c r="AP51" t="s">
        <v>1376</v>
      </c>
      <c r="AQ51" t="s">
        <v>1377</v>
      </c>
      <c r="AR51" t="s">
        <v>1378</v>
      </c>
      <c r="AS51" t="s">
        <v>1374</v>
      </c>
      <c r="AT51" t="s">
        <v>1379</v>
      </c>
      <c r="AU51" t="s">
        <v>1380</v>
      </c>
      <c r="BC51">
        <v>1</v>
      </c>
      <c r="BD51">
        <v>2</v>
      </c>
      <c r="BE51">
        <v>0</v>
      </c>
      <c r="BF51">
        <v>1</v>
      </c>
      <c r="BG51">
        <v>4</v>
      </c>
      <c r="BI51" s="1">
        <v>7529</v>
      </c>
      <c r="BJ51">
        <v>3</v>
      </c>
      <c r="BK51">
        <v>1</v>
      </c>
      <c r="BL51">
        <v>4</v>
      </c>
      <c r="BM51">
        <v>18</v>
      </c>
      <c r="BN51">
        <v>22</v>
      </c>
      <c r="BO51" s="3">
        <v>0.13639999999999999</v>
      </c>
      <c r="BP51">
        <v>686</v>
      </c>
      <c r="BQ51" s="4">
        <v>80662</v>
      </c>
      <c r="BU51" s="4">
        <v>32802</v>
      </c>
      <c r="BV51" s="4">
        <v>47965</v>
      </c>
      <c r="BW51" s="4">
        <v>41136</v>
      </c>
      <c r="CG51" s="4">
        <v>39000</v>
      </c>
      <c r="CH51" s="4">
        <v>39000</v>
      </c>
      <c r="CI51" s="4">
        <v>39000</v>
      </c>
      <c r="DO51" s="4">
        <v>25002</v>
      </c>
      <c r="DP51" s="4">
        <v>28163</v>
      </c>
      <c r="DQ51" s="4">
        <v>26239</v>
      </c>
      <c r="DV51" s="4">
        <v>0</v>
      </c>
      <c r="DW51" s="4">
        <v>1209484</v>
      </c>
      <c r="DX51" s="4">
        <v>1209484</v>
      </c>
      <c r="DY51" s="4">
        <v>118507</v>
      </c>
      <c r="DZ51" s="4">
        <v>0</v>
      </c>
      <c r="EA51" s="4">
        <v>118507</v>
      </c>
      <c r="EB51" s="4">
        <v>59486</v>
      </c>
      <c r="EC51" s="4">
        <v>0</v>
      </c>
      <c r="ED51" s="4">
        <v>59486</v>
      </c>
      <c r="EE51" s="4">
        <v>5151</v>
      </c>
      <c r="EF51" s="4">
        <v>1392628</v>
      </c>
      <c r="EG51" s="4">
        <v>546112</v>
      </c>
      <c r="EH51" s="4">
        <v>226451</v>
      </c>
      <c r="EI51" s="4">
        <v>772563</v>
      </c>
      <c r="EJ51" s="4">
        <v>181075</v>
      </c>
      <c r="EK51" s="4">
        <v>64056</v>
      </c>
      <c r="EL51" s="4">
        <v>16293</v>
      </c>
      <c r="EM51" s="4">
        <v>261424</v>
      </c>
      <c r="EN51" s="4">
        <v>293547</v>
      </c>
      <c r="EO51" s="4">
        <v>1327534</v>
      </c>
      <c r="EP51" s="4">
        <v>65094</v>
      </c>
      <c r="EQ51" s="3">
        <v>4.6699999999999998E-2</v>
      </c>
      <c r="ER51" s="4">
        <v>47631</v>
      </c>
      <c r="ES51" s="4">
        <v>0</v>
      </c>
      <c r="ET51" s="4">
        <v>0</v>
      </c>
      <c r="EU51" s="4">
        <v>0</v>
      </c>
      <c r="EV51" s="4">
        <v>47631</v>
      </c>
      <c r="EW51" s="4">
        <v>47631</v>
      </c>
      <c r="EX51" s="1">
        <v>38967</v>
      </c>
      <c r="EY51" s="1">
        <v>252850</v>
      </c>
      <c r="EZ51" s="1">
        <v>26519</v>
      </c>
      <c r="FA51" s="1">
        <v>5979</v>
      </c>
      <c r="FB51" s="1">
        <v>18248</v>
      </c>
      <c r="FC51" s="1">
        <v>46464</v>
      </c>
      <c r="FD51">
        <v>0</v>
      </c>
      <c r="FE51" s="1">
        <v>21517</v>
      </c>
      <c r="FF51" s="1">
        <v>72983</v>
      </c>
      <c r="FG51" s="1">
        <v>5979</v>
      </c>
      <c r="FH51" s="1">
        <v>39765</v>
      </c>
      <c r="FI51" s="1">
        <v>118727</v>
      </c>
      <c r="FJ51">
        <v>0</v>
      </c>
      <c r="FK51">
        <v>165</v>
      </c>
      <c r="FM51" s="1">
        <v>118727</v>
      </c>
      <c r="FN51" s="1">
        <v>8316</v>
      </c>
      <c r="FO51" s="1">
        <v>13689</v>
      </c>
      <c r="FP51">
        <v>202</v>
      </c>
      <c r="FQ51">
        <v>6</v>
      </c>
      <c r="FR51">
        <v>88</v>
      </c>
      <c r="FS51">
        <v>94</v>
      </c>
      <c r="FT51" s="1">
        <v>44141</v>
      </c>
      <c r="FU51" s="1">
        <v>3505</v>
      </c>
      <c r="FV51">
        <v>0</v>
      </c>
      <c r="FW51">
        <v>0</v>
      </c>
      <c r="FX51" s="1">
        <v>8544</v>
      </c>
      <c r="FY51" s="1">
        <v>1573</v>
      </c>
      <c r="FZ51">
        <v>322</v>
      </c>
      <c r="GA51">
        <v>0</v>
      </c>
      <c r="GB51">
        <v>0</v>
      </c>
      <c r="GE51">
        <v>0</v>
      </c>
      <c r="GF51" s="1">
        <v>36593</v>
      </c>
      <c r="GG51" s="1">
        <v>13194</v>
      </c>
      <c r="GH51">
        <v>264</v>
      </c>
      <c r="GI51">
        <v>12</v>
      </c>
      <c r="GJ51" s="1">
        <v>3312</v>
      </c>
      <c r="GK51">
        <v>-1</v>
      </c>
      <c r="GL51">
        <v>0</v>
      </c>
      <c r="GM51">
        <v>198</v>
      </c>
      <c r="GN51" s="1">
        <v>92590</v>
      </c>
      <c r="GO51" s="1">
        <v>18271</v>
      </c>
      <c r="GP51">
        <v>586</v>
      </c>
      <c r="GQ51">
        <v>210</v>
      </c>
      <c r="GR51">
        <v>18</v>
      </c>
      <c r="GT51" s="1">
        <v>58385</v>
      </c>
      <c r="GU51" s="1">
        <v>6237</v>
      </c>
      <c r="GV51" s="1">
        <v>63582</v>
      </c>
      <c r="GW51" s="1">
        <v>16949</v>
      </c>
      <c r="GX51">
        <v>0</v>
      </c>
      <c r="GY51" s="1">
        <v>14910</v>
      </c>
      <c r="GZ51" s="1">
        <v>75334</v>
      </c>
      <c r="HA51" s="1">
        <v>6237</v>
      </c>
      <c r="HB51" s="1">
        <v>78492</v>
      </c>
      <c r="HC51" s="1">
        <v>160063</v>
      </c>
      <c r="HD51">
        <v>0</v>
      </c>
      <c r="HE51" s="1">
        <v>160063</v>
      </c>
      <c r="HF51" s="1">
        <v>10092</v>
      </c>
      <c r="HG51" s="1">
        <v>30930</v>
      </c>
      <c r="HH51">
        <v>0</v>
      </c>
      <c r="HI51">
        <v>0</v>
      </c>
      <c r="HJ51" s="1">
        <v>41022</v>
      </c>
      <c r="HK51" s="1">
        <v>201085</v>
      </c>
      <c r="HL51">
        <v>44</v>
      </c>
      <c r="HM51" s="1">
        <v>16031</v>
      </c>
      <c r="HN51" s="1">
        <v>16075</v>
      </c>
      <c r="HO51">
        <v>228</v>
      </c>
      <c r="HP51" s="1">
        <v>9412</v>
      </c>
      <c r="HQ51" s="1">
        <v>9640</v>
      </c>
      <c r="HR51">
        <v>0</v>
      </c>
      <c r="HS51">
        <v>167</v>
      </c>
      <c r="HT51">
        <v>167</v>
      </c>
      <c r="HU51" s="1">
        <v>2123</v>
      </c>
      <c r="HV51" s="1">
        <v>28005</v>
      </c>
      <c r="HW51" s="1">
        <v>5712</v>
      </c>
      <c r="HX51" s="1">
        <v>17011</v>
      </c>
      <c r="HY51" s="1">
        <v>22723</v>
      </c>
      <c r="HZ51" s="1">
        <v>50728</v>
      </c>
      <c r="IA51" s="1">
        <v>19732</v>
      </c>
      <c r="IB51" s="1">
        <v>50829</v>
      </c>
      <c r="IC51" s="1">
        <v>229090</v>
      </c>
      <c r="ID51" s="1">
        <v>229090</v>
      </c>
      <c r="IE51" s="1">
        <v>251813</v>
      </c>
      <c r="IF51" s="1">
        <v>47461</v>
      </c>
      <c r="IG51">
        <v>-1</v>
      </c>
      <c r="IK51" s="3">
        <v>5.6500000000000002E-2</v>
      </c>
      <c r="IL51" s="3">
        <v>6.9999999999999999E-4</v>
      </c>
      <c r="IM51" s="3">
        <v>0.44159999999999999</v>
      </c>
      <c r="IN51" s="3">
        <v>0</v>
      </c>
      <c r="IO51" s="3">
        <v>0.36620000000000003</v>
      </c>
      <c r="IP51" s="3">
        <v>4.0000000000000002E-4</v>
      </c>
      <c r="IQ51" s="3">
        <v>0.46960000000000002</v>
      </c>
      <c r="IR51" s="3">
        <v>0.1051</v>
      </c>
      <c r="IS51" s="3">
        <v>0.2072</v>
      </c>
      <c r="IT51" s="1">
        <v>42844</v>
      </c>
      <c r="IU51" s="1">
        <v>27279</v>
      </c>
      <c r="IV51" s="1">
        <v>70123</v>
      </c>
      <c r="IW51" s="3">
        <v>0.86150000000000004</v>
      </c>
      <c r="IX51" s="1">
        <v>193242</v>
      </c>
      <c r="IZ51">
        <v>96</v>
      </c>
      <c r="JA51">
        <v>73</v>
      </c>
      <c r="JB51">
        <v>494</v>
      </c>
      <c r="JC51">
        <v>7</v>
      </c>
      <c r="JD51">
        <v>23</v>
      </c>
      <c r="JE51">
        <v>40</v>
      </c>
      <c r="JF51">
        <v>103</v>
      </c>
      <c r="JG51">
        <v>96</v>
      </c>
      <c r="JH51">
        <v>534</v>
      </c>
      <c r="JI51">
        <v>733</v>
      </c>
      <c r="JJ51">
        <v>663</v>
      </c>
      <c r="JK51">
        <v>70</v>
      </c>
      <c r="JL51">
        <v>614</v>
      </c>
      <c r="JM51" s="1">
        <v>1014</v>
      </c>
      <c r="JN51" s="1">
        <v>12214</v>
      </c>
      <c r="JO51">
        <v>857</v>
      </c>
      <c r="JP51">
        <v>533</v>
      </c>
      <c r="JQ51" s="1">
        <v>3356</v>
      </c>
      <c r="JR51" s="1">
        <v>1471</v>
      </c>
      <c r="JS51" s="1">
        <v>1547</v>
      </c>
      <c r="JT51" s="1">
        <v>15570</v>
      </c>
      <c r="JU51" s="1">
        <v>18588</v>
      </c>
      <c r="JV51" s="1">
        <v>13842</v>
      </c>
      <c r="JW51" s="1">
        <v>4746</v>
      </c>
      <c r="JX51">
        <v>25.36</v>
      </c>
      <c r="JY51">
        <v>14.28</v>
      </c>
      <c r="JZ51">
        <v>29.16</v>
      </c>
      <c r="KA51">
        <v>0.08</v>
      </c>
      <c r="KB51">
        <v>0.84</v>
      </c>
      <c r="KC51">
        <v>3</v>
      </c>
      <c r="KD51">
        <v>14</v>
      </c>
      <c r="KE51">
        <v>23</v>
      </c>
      <c r="KF51">
        <v>237</v>
      </c>
      <c r="KG51">
        <v>8</v>
      </c>
      <c r="KH51">
        <v>21</v>
      </c>
      <c r="KI51">
        <v>0</v>
      </c>
      <c r="KJ51">
        <v>0</v>
      </c>
      <c r="KK51">
        <v>83</v>
      </c>
      <c r="KL51">
        <v>972</v>
      </c>
      <c r="KM51" s="1">
        <v>17002</v>
      </c>
      <c r="KN51" s="1">
        <v>10412</v>
      </c>
      <c r="KO51" s="1">
        <v>1717</v>
      </c>
      <c r="KQ51">
        <v>103</v>
      </c>
      <c r="KR51" s="1">
        <v>1112</v>
      </c>
      <c r="KS51">
        <v>0</v>
      </c>
      <c r="KT51">
        <v>6</v>
      </c>
      <c r="KU51">
        <v>28</v>
      </c>
      <c r="KV51">
        <v>50</v>
      </c>
      <c r="KW51" s="1">
        <v>35036</v>
      </c>
      <c r="KY51" s="1">
        <v>48348</v>
      </c>
      <c r="KZ51" s="1">
        <v>38572</v>
      </c>
      <c r="LC51" t="s">
        <v>1381</v>
      </c>
      <c r="LD51" t="s">
        <v>709</v>
      </c>
      <c r="LE51" t="s">
        <v>1368</v>
      </c>
      <c r="LF51" t="s">
        <v>1369</v>
      </c>
      <c r="LG51">
        <v>28092</v>
      </c>
      <c r="LI51" t="s">
        <v>1368</v>
      </c>
      <c r="LJ51" t="s">
        <v>1369</v>
      </c>
      <c r="LK51">
        <v>28092</v>
      </c>
      <c r="LM51" t="s">
        <v>1371</v>
      </c>
      <c r="LN51">
        <v>7047358044</v>
      </c>
      <c r="LO51">
        <v>7047329042</v>
      </c>
      <c r="LP51" s="1">
        <v>24879</v>
      </c>
      <c r="LQ51">
        <v>15</v>
      </c>
      <c r="LS51" s="1">
        <v>7529</v>
      </c>
      <c r="LT51">
        <v>156</v>
      </c>
      <c r="LW51">
        <v>1</v>
      </c>
      <c r="LX51" t="s">
        <v>1382</v>
      </c>
      <c r="LY51">
        <v>0</v>
      </c>
      <c r="LZ51" t="s">
        <v>691</v>
      </c>
      <c r="MA51">
        <v>20.010000000000002</v>
      </c>
      <c r="MB51">
        <v>70</v>
      </c>
    </row>
    <row r="52" spans="1:340" x14ac:dyDescent="0.25">
      <c r="A52" t="s">
        <v>1383</v>
      </c>
      <c r="B52">
        <v>0</v>
      </c>
      <c r="C52">
        <v>1375</v>
      </c>
      <c r="D52">
        <v>2017</v>
      </c>
      <c r="E52">
        <v>0</v>
      </c>
      <c r="F52" t="s">
        <v>1383</v>
      </c>
      <c r="G52" t="s">
        <v>1384</v>
      </c>
      <c r="H52" t="s">
        <v>668</v>
      </c>
      <c r="I52" t="s">
        <v>669</v>
      </c>
      <c r="J52" t="s">
        <v>670</v>
      </c>
      <c r="K52" t="s">
        <v>671</v>
      </c>
      <c r="L52" t="s">
        <v>672</v>
      </c>
      <c r="M52" t="s">
        <v>673</v>
      </c>
      <c r="N52" s="1">
        <v>21663</v>
      </c>
      <c r="O52" t="s">
        <v>674</v>
      </c>
      <c r="P52">
        <v>496</v>
      </c>
      <c r="Q52">
        <v>414</v>
      </c>
      <c r="R52">
        <v>21</v>
      </c>
      <c r="S52">
        <v>13</v>
      </c>
      <c r="T52" s="1">
        <v>2129</v>
      </c>
      <c r="U52">
        <v>233</v>
      </c>
      <c r="V52" s="1">
        <v>10033</v>
      </c>
      <c r="W52">
        <v>970</v>
      </c>
      <c r="X52" s="1">
        <v>292980</v>
      </c>
      <c r="Y52" s="1">
        <v>172400</v>
      </c>
      <c r="Z52" t="s">
        <v>1385</v>
      </c>
      <c r="AA52" t="s">
        <v>1386</v>
      </c>
      <c r="AB52">
        <v>28753</v>
      </c>
      <c r="AD52" t="s">
        <v>1385</v>
      </c>
      <c r="AE52" t="s">
        <v>1386</v>
      </c>
      <c r="AF52">
        <v>28753</v>
      </c>
      <c r="AG52">
        <v>2</v>
      </c>
      <c r="AH52" t="s">
        <v>1387</v>
      </c>
      <c r="AJ52" t="s">
        <v>35</v>
      </c>
      <c r="AK52" t="s">
        <v>1388</v>
      </c>
      <c r="AL52" t="s">
        <v>1389</v>
      </c>
      <c r="AM52" t="s">
        <v>1390</v>
      </c>
      <c r="AN52" t="s">
        <v>1391</v>
      </c>
      <c r="AO52" t="s">
        <v>1392</v>
      </c>
      <c r="AP52" t="s">
        <v>1393</v>
      </c>
      <c r="AQ52" t="s">
        <v>706</v>
      </c>
      <c r="AR52" t="s">
        <v>1390</v>
      </c>
      <c r="AS52" t="s">
        <v>1394</v>
      </c>
      <c r="AT52" t="s">
        <v>1392</v>
      </c>
      <c r="AU52" t="s">
        <v>1395</v>
      </c>
      <c r="BC52">
        <v>1</v>
      </c>
      <c r="BD52">
        <v>2</v>
      </c>
      <c r="BE52">
        <v>0</v>
      </c>
      <c r="BF52">
        <v>0</v>
      </c>
      <c r="BG52">
        <v>3</v>
      </c>
      <c r="BI52" s="1">
        <v>6697</v>
      </c>
      <c r="BJ52">
        <v>1</v>
      </c>
      <c r="BK52">
        <v>0</v>
      </c>
      <c r="BL52">
        <v>1</v>
      </c>
      <c r="BM52">
        <v>10.63</v>
      </c>
      <c r="BN52">
        <v>11.63</v>
      </c>
      <c r="BO52" s="3">
        <v>8.5999999999999993E-2</v>
      </c>
      <c r="BP52" s="1">
        <v>3333</v>
      </c>
      <c r="BQ52" s="4">
        <v>51250</v>
      </c>
      <c r="BU52" s="4">
        <v>19532</v>
      </c>
      <c r="BV52" s="4">
        <v>25460</v>
      </c>
      <c r="BW52" s="4">
        <v>22496</v>
      </c>
      <c r="BY52" s="4">
        <v>19532</v>
      </c>
      <c r="BZ52" s="4">
        <v>25460</v>
      </c>
      <c r="CA52" s="4">
        <v>22496</v>
      </c>
      <c r="CO52" s="4">
        <v>20800</v>
      </c>
      <c r="CP52" s="4">
        <v>24960</v>
      </c>
      <c r="CQ52" s="4">
        <v>22880</v>
      </c>
      <c r="CZ52" s="4">
        <v>17160</v>
      </c>
      <c r="DA52" s="4">
        <v>17660</v>
      </c>
      <c r="DB52" s="4">
        <v>17410</v>
      </c>
      <c r="DV52" s="4">
        <v>6000</v>
      </c>
      <c r="DW52" s="4">
        <v>380854</v>
      </c>
      <c r="DX52" s="4">
        <v>386854</v>
      </c>
      <c r="DY52" s="4">
        <v>81518</v>
      </c>
      <c r="DZ52" s="4">
        <v>0</v>
      </c>
      <c r="EA52" s="4">
        <v>81518</v>
      </c>
      <c r="EB52" s="4">
        <v>27012</v>
      </c>
      <c r="EC52" s="4">
        <v>2679</v>
      </c>
      <c r="ED52" s="4">
        <v>29691</v>
      </c>
      <c r="EE52" s="4">
        <v>13414</v>
      </c>
      <c r="EF52" s="4">
        <v>511477</v>
      </c>
      <c r="EG52" s="4">
        <v>230799</v>
      </c>
      <c r="EH52" s="4">
        <v>78715</v>
      </c>
      <c r="EI52" s="4">
        <v>309514</v>
      </c>
      <c r="EJ52" s="4">
        <v>31631</v>
      </c>
      <c r="EK52" s="4">
        <v>4100</v>
      </c>
      <c r="EL52" s="4">
        <v>7644</v>
      </c>
      <c r="EM52" s="4">
        <v>43375</v>
      </c>
      <c r="EN52" s="4">
        <v>158882</v>
      </c>
      <c r="EO52" s="4">
        <v>511771</v>
      </c>
      <c r="EP52" s="4">
        <v>-294</v>
      </c>
      <c r="EQ52" s="3">
        <v>-5.9999999999999995E-4</v>
      </c>
      <c r="ER52" s="4">
        <v>0</v>
      </c>
      <c r="ES52" s="4">
        <v>0</v>
      </c>
      <c r="ET52" s="4">
        <v>0</v>
      </c>
      <c r="EU52" s="4">
        <v>0</v>
      </c>
      <c r="EV52" s="4">
        <v>0</v>
      </c>
      <c r="EW52" s="4">
        <v>0</v>
      </c>
      <c r="EX52" s="1">
        <v>14607</v>
      </c>
      <c r="EY52" s="1">
        <v>149099</v>
      </c>
      <c r="EZ52" s="1">
        <v>22389</v>
      </c>
      <c r="FA52" s="1">
        <v>1679</v>
      </c>
      <c r="FB52" s="1">
        <v>12820</v>
      </c>
      <c r="FC52" s="1">
        <v>12411</v>
      </c>
      <c r="FD52">
        <v>259</v>
      </c>
      <c r="FE52" s="1">
        <v>3251</v>
      </c>
      <c r="FF52" s="1">
        <v>34800</v>
      </c>
      <c r="FG52" s="1">
        <v>1938</v>
      </c>
      <c r="FH52" s="1">
        <v>16071</v>
      </c>
      <c r="FI52" s="1">
        <v>52809</v>
      </c>
      <c r="FJ52">
        <v>0</v>
      </c>
      <c r="FK52">
        <v>112</v>
      </c>
      <c r="FM52" s="1">
        <v>52809</v>
      </c>
      <c r="FN52" s="1">
        <v>3260</v>
      </c>
      <c r="FO52" s="1">
        <v>6074</v>
      </c>
      <c r="FP52">
        <v>85</v>
      </c>
      <c r="FQ52">
        <v>1</v>
      </c>
      <c r="FR52">
        <v>88</v>
      </c>
      <c r="FS52">
        <v>89</v>
      </c>
      <c r="FT52" s="1">
        <v>44141</v>
      </c>
      <c r="FU52" s="1">
        <v>3505</v>
      </c>
      <c r="FV52">
        <v>0</v>
      </c>
      <c r="FW52">
        <v>0</v>
      </c>
      <c r="FX52" s="1">
        <v>8544</v>
      </c>
      <c r="FY52" s="1">
        <v>1573</v>
      </c>
      <c r="FZ52">
        <v>322</v>
      </c>
      <c r="GA52">
        <v>0</v>
      </c>
      <c r="GB52" s="1">
        <v>26436</v>
      </c>
      <c r="GC52" s="1">
        <v>1747</v>
      </c>
      <c r="GD52">
        <v>278</v>
      </c>
      <c r="GE52">
        <v>42</v>
      </c>
      <c r="GJ52">
        <v>61</v>
      </c>
      <c r="GK52">
        <v>21</v>
      </c>
      <c r="GL52">
        <v>0</v>
      </c>
      <c r="GM52">
        <v>0</v>
      </c>
      <c r="GN52" s="1">
        <v>79182</v>
      </c>
      <c r="GO52" s="1">
        <v>6846</v>
      </c>
      <c r="GP52">
        <v>600</v>
      </c>
      <c r="GQ52">
        <v>42</v>
      </c>
      <c r="GR52">
        <v>15</v>
      </c>
      <c r="GT52" s="1">
        <v>29086</v>
      </c>
      <c r="GU52" s="1">
        <v>3015</v>
      </c>
      <c r="GV52" s="1">
        <v>23519</v>
      </c>
      <c r="GW52" s="1">
        <v>9145</v>
      </c>
      <c r="GX52">
        <v>241</v>
      </c>
      <c r="GY52" s="1">
        <v>4184</v>
      </c>
      <c r="GZ52" s="1">
        <v>38231</v>
      </c>
      <c r="HA52" s="1">
        <v>3256</v>
      </c>
      <c r="HB52" s="1">
        <v>27703</v>
      </c>
      <c r="HC52" s="1">
        <v>69190</v>
      </c>
      <c r="HD52">
        <v>892</v>
      </c>
      <c r="HE52" s="1">
        <v>70082</v>
      </c>
      <c r="HF52" s="1">
        <v>6971</v>
      </c>
      <c r="HG52" s="1">
        <v>25167</v>
      </c>
      <c r="HH52">
        <v>0</v>
      </c>
      <c r="HI52">
        <v>52</v>
      </c>
      <c r="HJ52" s="1">
        <v>32190</v>
      </c>
      <c r="HK52" s="1">
        <v>102272</v>
      </c>
      <c r="HL52">
        <v>25</v>
      </c>
      <c r="HM52" s="1">
        <v>7025</v>
      </c>
      <c r="HN52" s="1">
        <v>7050</v>
      </c>
      <c r="HO52">
        <v>500</v>
      </c>
      <c r="HP52" s="1">
        <v>1627</v>
      </c>
      <c r="HQ52" s="1">
        <v>2127</v>
      </c>
      <c r="HR52">
        <v>0</v>
      </c>
      <c r="HS52">
        <v>30</v>
      </c>
      <c r="HT52">
        <v>30</v>
      </c>
      <c r="HU52">
        <v>151</v>
      </c>
      <c r="HV52" s="1">
        <v>9358</v>
      </c>
      <c r="HW52" s="1">
        <v>6070</v>
      </c>
      <c r="HX52">
        <v>0</v>
      </c>
      <c r="HY52" s="1">
        <v>6070</v>
      </c>
      <c r="HZ52" s="1">
        <v>15428</v>
      </c>
      <c r="IA52" s="1">
        <v>9098</v>
      </c>
      <c r="IB52" s="1">
        <v>34295</v>
      </c>
      <c r="IC52" s="1">
        <v>111630</v>
      </c>
      <c r="ID52" s="1">
        <v>111630</v>
      </c>
      <c r="IE52" s="1">
        <v>117700</v>
      </c>
      <c r="IF52" s="1">
        <v>37281</v>
      </c>
      <c r="IG52" s="1">
        <v>1144</v>
      </c>
      <c r="IJ52">
        <v>3</v>
      </c>
      <c r="IK52" s="3">
        <v>4.48E-2</v>
      </c>
      <c r="IL52" s="3">
        <v>8.0000000000000004E-4</v>
      </c>
      <c r="IM52" s="3">
        <v>0.58130000000000004</v>
      </c>
      <c r="IN52" s="3">
        <v>0</v>
      </c>
      <c r="IO52" s="3">
        <v>0.53110000000000002</v>
      </c>
      <c r="IP52" s="3">
        <v>5.9999999999999995E-4</v>
      </c>
      <c r="IQ52" s="3">
        <v>0.35420000000000001</v>
      </c>
      <c r="IR52" s="3">
        <v>6.7799999999999999E-2</v>
      </c>
      <c r="IS52" s="3">
        <v>0.33400000000000002</v>
      </c>
      <c r="IT52" s="1">
        <v>6736</v>
      </c>
      <c r="IU52" s="1">
        <v>2328</v>
      </c>
      <c r="IV52" s="1">
        <v>9064</v>
      </c>
      <c r="IW52" s="3">
        <v>0.41839999999999999</v>
      </c>
      <c r="IX52" s="1">
        <v>119728</v>
      </c>
      <c r="IZ52">
        <v>111</v>
      </c>
      <c r="JA52">
        <v>40</v>
      </c>
      <c r="JB52">
        <v>278</v>
      </c>
      <c r="JC52">
        <v>23</v>
      </c>
      <c r="JD52">
        <v>21</v>
      </c>
      <c r="JE52">
        <v>180</v>
      </c>
      <c r="JF52">
        <v>134</v>
      </c>
      <c r="JG52">
        <v>61</v>
      </c>
      <c r="JH52">
        <v>458</v>
      </c>
      <c r="JI52">
        <v>653</v>
      </c>
      <c r="JJ52">
        <v>429</v>
      </c>
      <c r="JK52">
        <v>224</v>
      </c>
      <c r="JL52" s="1">
        <v>2016</v>
      </c>
      <c r="JM52">
        <v>660</v>
      </c>
      <c r="JN52" s="1">
        <v>7326</v>
      </c>
      <c r="JO52">
        <v>744</v>
      </c>
      <c r="JP52">
        <v>789</v>
      </c>
      <c r="JQ52" s="1">
        <v>5507</v>
      </c>
      <c r="JR52" s="1">
        <v>2760</v>
      </c>
      <c r="JS52" s="1">
        <v>1449</v>
      </c>
      <c r="JT52" s="1">
        <v>12833</v>
      </c>
      <c r="JU52" s="1">
        <v>17042</v>
      </c>
      <c r="JV52" s="1">
        <v>10002</v>
      </c>
      <c r="JW52" s="1">
        <v>7040</v>
      </c>
      <c r="JX52">
        <v>26.1</v>
      </c>
      <c r="JY52">
        <v>20.6</v>
      </c>
      <c r="JZ52">
        <v>28.02</v>
      </c>
      <c r="KA52">
        <v>0.16</v>
      </c>
      <c r="KB52">
        <v>0.75</v>
      </c>
      <c r="KC52">
        <v>28</v>
      </c>
      <c r="KD52">
        <v>147</v>
      </c>
      <c r="KE52">
        <v>44</v>
      </c>
      <c r="KF52">
        <v>286</v>
      </c>
      <c r="KM52" s="1">
        <v>3882</v>
      </c>
      <c r="KN52" s="1">
        <v>1330</v>
      </c>
      <c r="KO52">
        <v>193</v>
      </c>
      <c r="KQ52">
        <v>465</v>
      </c>
      <c r="KR52" s="1">
        <v>6609</v>
      </c>
      <c r="KS52">
        <v>1</v>
      </c>
      <c r="KT52">
        <v>5</v>
      </c>
      <c r="KU52">
        <v>15</v>
      </c>
      <c r="KV52">
        <v>55</v>
      </c>
      <c r="KW52" s="1">
        <v>15388</v>
      </c>
      <c r="KY52" s="1">
        <v>43801</v>
      </c>
      <c r="KZ52" s="1">
        <v>64877</v>
      </c>
      <c r="LC52" t="s">
        <v>1387</v>
      </c>
      <c r="LD52" t="s">
        <v>709</v>
      </c>
      <c r="LE52" t="s">
        <v>1385</v>
      </c>
      <c r="LF52" t="s">
        <v>1386</v>
      </c>
      <c r="LG52">
        <v>28753</v>
      </c>
      <c r="LH52">
        <v>6901</v>
      </c>
      <c r="LI52" t="s">
        <v>1385</v>
      </c>
      <c r="LJ52" t="s">
        <v>1386</v>
      </c>
      <c r="LK52">
        <v>28753</v>
      </c>
      <c r="LL52">
        <v>6901</v>
      </c>
      <c r="LM52" t="s">
        <v>1388</v>
      </c>
      <c r="LN52">
        <v>8286493741</v>
      </c>
      <c r="LO52">
        <v>8286493504</v>
      </c>
      <c r="LP52" s="1">
        <v>21176</v>
      </c>
      <c r="LQ52">
        <v>11.63</v>
      </c>
      <c r="LS52" s="1">
        <v>6697</v>
      </c>
      <c r="LT52">
        <v>156</v>
      </c>
      <c r="LW52">
        <v>2</v>
      </c>
      <c r="LX52" t="s">
        <v>1396</v>
      </c>
      <c r="LY52">
        <v>0</v>
      </c>
      <c r="LZ52" t="s">
        <v>691</v>
      </c>
      <c r="MA52">
        <v>94.02</v>
      </c>
      <c r="MB52">
        <v>95.32</v>
      </c>
    </row>
    <row r="53" spans="1:340" x14ac:dyDescent="0.25">
      <c r="A53" t="s">
        <v>1397</v>
      </c>
      <c r="B53">
        <v>0</v>
      </c>
      <c r="C53">
        <v>1375</v>
      </c>
      <c r="D53">
        <v>2017</v>
      </c>
      <c r="E53">
        <v>0</v>
      </c>
      <c r="F53" t="s">
        <v>1397</v>
      </c>
      <c r="G53" t="s">
        <v>1398</v>
      </c>
      <c r="H53" t="s">
        <v>668</v>
      </c>
      <c r="I53" t="s">
        <v>669</v>
      </c>
      <c r="J53" t="s">
        <v>670</v>
      </c>
      <c r="K53" t="s">
        <v>671</v>
      </c>
      <c r="L53" t="s">
        <v>672</v>
      </c>
      <c r="M53" t="s">
        <v>673</v>
      </c>
      <c r="N53" s="1">
        <v>45370</v>
      </c>
      <c r="O53" t="s">
        <v>674</v>
      </c>
      <c r="P53">
        <v>440</v>
      </c>
      <c r="Q53">
        <v>71</v>
      </c>
      <c r="R53">
        <v>67</v>
      </c>
      <c r="S53">
        <v>20</v>
      </c>
      <c r="T53" s="1">
        <v>1677</v>
      </c>
      <c r="U53">
        <v>207</v>
      </c>
      <c r="V53" s="1">
        <v>11886</v>
      </c>
      <c r="W53" s="1">
        <v>1636</v>
      </c>
      <c r="X53" s="1">
        <v>108580</v>
      </c>
      <c r="Y53" s="1">
        <v>82080</v>
      </c>
      <c r="Z53" t="s">
        <v>1399</v>
      </c>
      <c r="AA53" t="s">
        <v>1400</v>
      </c>
      <c r="AB53">
        <v>28752</v>
      </c>
      <c r="AC53">
        <v>3906</v>
      </c>
      <c r="AD53" t="s">
        <v>1399</v>
      </c>
      <c r="AE53" t="s">
        <v>1400</v>
      </c>
      <c r="AF53">
        <v>28752</v>
      </c>
      <c r="AG53">
        <v>1</v>
      </c>
      <c r="AH53" t="s">
        <v>1401</v>
      </c>
      <c r="AJ53" t="s">
        <v>35</v>
      </c>
      <c r="AK53" t="s">
        <v>1402</v>
      </c>
      <c r="AL53" t="s">
        <v>1403</v>
      </c>
      <c r="AM53" t="s">
        <v>1404</v>
      </c>
      <c r="AN53" t="s">
        <v>1405</v>
      </c>
      <c r="AO53" t="s">
        <v>1406</v>
      </c>
      <c r="AP53" t="s">
        <v>1403</v>
      </c>
      <c r="AQ53" t="s">
        <v>36</v>
      </c>
      <c r="AR53" t="s">
        <v>1404</v>
      </c>
      <c r="AS53" t="s">
        <v>1405</v>
      </c>
      <c r="AT53" t="s">
        <v>1406</v>
      </c>
      <c r="AU53" t="s">
        <v>1407</v>
      </c>
      <c r="BC53">
        <v>1</v>
      </c>
      <c r="BD53">
        <v>1</v>
      </c>
      <c r="BE53">
        <v>0</v>
      </c>
      <c r="BF53">
        <v>0</v>
      </c>
      <c r="BG53">
        <v>2</v>
      </c>
      <c r="BI53" s="1">
        <v>4186</v>
      </c>
      <c r="BJ53">
        <v>2</v>
      </c>
      <c r="BK53">
        <v>0</v>
      </c>
      <c r="BL53">
        <v>2</v>
      </c>
      <c r="BM53">
        <v>17.45</v>
      </c>
      <c r="BN53">
        <v>19.45</v>
      </c>
      <c r="BO53" s="3">
        <v>0.1028</v>
      </c>
      <c r="BP53">
        <v>403</v>
      </c>
      <c r="BQ53" s="4">
        <v>57456</v>
      </c>
      <c r="BT53">
        <v>0</v>
      </c>
      <c r="BU53" s="4">
        <v>33258</v>
      </c>
      <c r="BW53" s="4">
        <v>34092</v>
      </c>
      <c r="BY53" s="4">
        <v>30108</v>
      </c>
      <c r="BZ53" s="4">
        <v>44262</v>
      </c>
      <c r="CA53" s="4">
        <v>34518</v>
      </c>
      <c r="CG53" s="4">
        <v>33258</v>
      </c>
      <c r="CH53" s="4">
        <v>48900</v>
      </c>
      <c r="CI53" s="4">
        <v>37200</v>
      </c>
      <c r="CR53" s="4">
        <v>20232</v>
      </c>
      <c r="CS53" s="4">
        <v>29760</v>
      </c>
      <c r="CT53" s="4">
        <v>23778</v>
      </c>
      <c r="CV53" s="4">
        <v>20232</v>
      </c>
      <c r="CW53" s="4">
        <v>29760</v>
      </c>
      <c r="CX53" s="4">
        <v>21528</v>
      </c>
      <c r="DK53" s="4">
        <v>24684</v>
      </c>
      <c r="DL53" s="4">
        <v>36288</v>
      </c>
      <c r="DM53" s="4">
        <v>26262</v>
      </c>
      <c r="DO53" s="4">
        <v>20232</v>
      </c>
      <c r="DP53" s="4">
        <v>29760</v>
      </c>
      <c r="DQ53" s="4">
        <v>22647</v>
      </c>
      <c r="DV53" s="4">
        <v>0</v>
      </c>
      <c r="DW53" s="4">
        <v>727094</v>
      </c>
      <c r="DX53" s="4">
        <v>727094</v>
      </c>
      <c r="DY53" s="4">
        <v>105533</v>
      </c>
      <c r="DZ53" s="4">
        <v>0</v>
      </c>
      <c r="EA53" s="4">
        <v>105533</v>
      </c>
      <c r="EB53" s="4">
        <v>0</v>
      </c>
      <c r="EC53" s="4">
        <v>0</v>
      </c>
      <c r="ED53" s="4">
        <v>0</v>
      </c>
      <c r="EE53" s="4">
        <v>1628</v>
      </c>
      <c r="EF53" s="4">
        <v>834255</v>
      </c>
      <c r="EG53" s="4">
        <v>391859</v>
      </c>
      <c r="EH53" s="4">
        <v>128348</v>
      </c>
      <c r="EI53" s="4">
        <v>520207</v>
      </c>
      <c r="EJ53" s="4">
        <v>50415</v>
      </c>
      <c r="EK53" s="4">
        <v>14343</v>
      </c>
      <c r="EL53" s="4">
        <v>12655</v>
      </c>
      <c r="EM53" s="4">
        <v>77413</v>
      </c>
      <c r="EN53" s="4">
        <v>162000</v>
      </c>
      <c r="EO53" s="4">
        <v>759620</v>
      </c>
      <c r="EP53" s="4">
        <v>74635</v>
      </c>
      <c r="EQ53" s="3">
        <v>8.9499999999999996E-2</v>
      </c>
      <c r="ER53" s="4">
        <v>0</v>
      </c>
      <c r="ES53" s="4">
        <v>0</v>
      </c>
      <c r="ET53" s="4">
        <v>0</v>
      </c>
      <c r="EU53" s="4">
        <v>500</v>
      </c>
      <c r="EV53" s="4">
        <v>500</v>
      </c>
      <c r="EW53" s="4">
        <v>0</v>
      </c>
      <c r="EX53" s="1">
        <v>17836</v>
      </c>
      <c r="EY53" s="1">
        <v>187471</v>
      </c>
      <c r="EZ53" s="1">
        <v>23635</v>
      </c>
      <c r="FA53" s="1">
        <v>2985</v>
      </c>
      <c r="FB53" s="1">
        <v>14593</v>
      </c>
      <c r="FC53" s="1">
        <v>38102</v>
      </c>
      <c r="FD53">
        <v>850</v>
      </c>
      <c r="FE53" s="1">
        <v>7615</v>
      </c>
      <c r="FF53" s="1">
        <v>61737</v>
      </c>
      <c r="FG53" s="1">
        <v>3835</v>
      </c>
      <c r="FH53" s="1">
        <v>22208</v>
      </c>
      <c r="FI53" s="1">
        <v>87780</v>
      </c>
      <c r="FJ53">
        <v>63</v>
      </c>
      <c r="FK53">
        <v>122</v>
      </c>
      <c r="FM53" s="1">
        <v>87780</v>
      </c>
      <c r="FN53" s="1">
        <v>5542</v>
      </c>
      <c r="FO53" s="1">
        <v>7042</v>
      </c>
      <c r="FP53">
        <v>222</v>
      </c>
      <c r="FQ53">
        <v>4</v>
      </c>
      <c r="FR53">
        <v>88</v>
      </c>
      <c r="FS53">
        <v>92</v>
      </c>
      <c r="FT53" s="1">
        <v>44141</v>
      </c>
      <c r="FU53" s="1">
        <v>3505</v>
      </c>
      <c r="FV53">
        <v>0</v>
      </c>
      <c r="FW53">
        <v>0</v>
      </c>
      <c r="FX53" s="1">
        <v>8544</v>
      </c>
      <c r="FY53" s="1">
        <v>1573</v>
      </c>
      <c r="FZ53">
        <v>322</v>
      </c>
      <c r="GA53">
        <v>0</v>
      </c>
      <c r="GB53" s="1">
        <v>26436</v>
      </c>
      <c r="GC53" s="1">
        <v>1747</v>
      </c>
      <c r="GD53">
        <v>278</v>
      </c>
      <c r="GJ53">
        <v>62</v>
      </c>
      <c r="GK53">
        <v>0</v>
      </c>
      <c r="GL53">
        <v>0</v>
      </c>
      <c r="GM53">
        <v>0</v>
      </c>
      <c r="GN53" s="1">
        <v>79183</v>
      </c>
      <c r="GO53" s="1">
        <v>6825</v>
      </c>
      <c r="GP53">
        <v>600</v>
      </c>
      <c r="GQ53">
        <v>0</v>
      </c>
      <c r="GR53">
        <v>21</v>
      </c>
      <c r="GT53" s="1">
        <v>45540</v>
      </c>
      <c r="GU53" s="1">
        <v>4490</v>
      </c>
      <c r="GV53" s="1">
        <v>25974</v>
      </c>
      <c r="GW53" s="1">
        <v>15162</v>
      </c>
      <c r="GX53">
        <v>577</v>
      </c>
      <c r="GY53" s="1">
        <v>5010</v>
      </c>
      <c r="GZ53" s="1">
        <v>60702</v>
      </c>
      <c r="HA53" s="1">
        <v>5067</v>
      </c>
      <c r="HB53" s="1">
        <v>30984</v>
      </c>
      <c r="HC53" s="1">
        <v>96753</v>
      </c>
      <c r="HD53" s="1">
        <v>2448</v>
      </c>
      <c r="HE53" s="1">
        <v>99347</v>
      </c>
      <c r="HF53" s="1">
        <v>10306</v>
      </c>
      <c r="HG53" s="1">
        <v>41189</v>
      </c>
      <c r="HH53">
        <v>146</v>
      </c>
      <c r="HI53">
        <v>1</v>
      </c>
      <c r="HJ53" s="1">
        <v>51496</v>
      </c>
      <c r="HK53" s="1">
        <v>150843</v>
      </c>
      <c r="HL53">
        <v>6</v>
      </c>
      <c r="HM53" s="1">
        <v>12907</v>
      </c>
      <c r="HN53" s="1">
        <v>12913</v>
      </c>
      <c r="HO53">
        <v>85</v>
      </c>
      <c r="HP53" s="1">
        <v>2385</v>
      </c>
      <c r="HQ53" s="1">
        <v>2470</v>
      </c>
      <c r="HR53">
        <v>0</v>
      </c>
      <c r="HS53">
        <v>27</v>
      </c>
      <c r="HT53">
        <v>27</v>
      </c>
      <c r="HU53">
        <v>233</v>
      </c>
      <c r="HV53" s="1">
        <v>15643</v>
      </c>
      <c r="HW53">
        <v>645</v>
      </c>
      <c r="HX53">
        <v>0</v>
      </c>
      <c r="HY53">
        <v>645</v>
      </c>
      <c r="HZ53" s="1">
        <v>16288</v>
      </c>
      <c r="IA53" s="1">
        <v>12776</v>
      </c>
      <c r="IB53" s="1">
        <v>53992</v>
      </c>
      <c r="IC53" s="1">
        <v>166486</v>
      </c>
      <c r="ID53" s="1">
        <v>166486</v>
      </c>
      <c r="IE53" s="1">
        <v>167131</v>
      </c>
      <c r="IF53" s="1">
        <v>43388</v>
      </c>
      <c r="IG53">
        <v>1</v>
      </c>
      <c r="IJ53">
        <v>1</v>
      </c>
      <c r="IK53" s="3">
        <v>4.0800000000000003E-2</v>
      </c>
      <c r="IL53" s="3">
        <v>6.9999999999999999E-4</v>
      </c>
      <c r="IM53" s="3">
        <v>0.46200000000000002</v>
      </c>
      <c r="IN53" s="3">
        <v>0</v>
      </c>
      <c r="IO53" s="3">
        <v>0.4224</v>
      </c>
      <c r="IP53" s="3">
        <v>5.0000000000000001E-4</v>
      </c>
      <c r="IQ53" s="3">
        <v>0.46820000000000001</v>
      </c>
      <c r="IR53" s="3">
        <v>6.6000000000000003E-2</v>
      </c>
      <c r="IS53" s="3">
        <v>0.2606</v>
      </c>
      <c r="IT53" s="1">
        <v>15925</v>
      </c>
      <c r="IU53" s="1">
        <v>3765</v>
      </c>
      <c r="IV53" s="1">
        <v>19690</v>
      </c>
      <c r="IW53" s="3">
        <v>0.434</v>
      </c>
      <c r="IX53" s="1">
        <v>107512</v>
      </c>
      <c r="IZ53">
        <v>98</v>
      </c>
      <c r="JA53">
        <v>114</v>
      </c>
      <c r="JB53">
        <v>294</v>
      </c>
      <c r="JC53">
        <v>9</v>
      </c>
      <c r="JD53">
        <v>4</v>
      </c>
      <c r="JE53">
        <v>16</v>
      </c>
      <c r="JF53">
        <v>107</v>
      </c>
      <c r="JG53">
        <v>118</v>
      </c>
      <c r="JH53">
        <v>310</v>
      </c>
      <c r="JI53">
        <v>535</v>
      </c>
      <c r="JJ53">
        <v>506</v>
      </c>
      <c r="JK53">
        <v>29</v>
      </c>
      <c r="JL53">
        <v>988</v>
      </c>
      <c r="JM53" s="1">
        <v>1097</v>
      </c>
      <c r="JN53" s="1">
        <v>3801</v>
      </c>
      <c r="JO53">
        <v>126</v>
      </c>
      <c r="JP53">
        <v>137</v>
      </c>
      <c r="JQ53" s="1">
        <v>3388</v>
      </c>
      <c r="JR53" s="1">
        <v>1114</v>
      </c>
      <c r="JS53" s="1">
        <v>1234</v>
      </c>
      <c r="JT53" s="1">
        <v>7189</v>
      </c>
      <c r="JU53" s="1">
        <v>9537</v>
      </c>
      <c r="JV53" s="1">
        <v>5886</v>
      </c>
      <c r="JW53" s="1">
        <v>3651</v>
      </c>
      <c r="JX53">
        <v>17.829999999999998</v>
      </c>
      <c r="JY53">
        <v>10.41</v>
      </c>
      <c r="JZ53">
        <v>23.19</v>
      </c>
      <c r="KA53">
        <v>0.12</v>
      </c>
      <c r="KB53">
        <v>0.75</v>
      </c>
      <c r="KC53">
        <v>21</v>
      </c>
      <c r="KD53">
        <v>63</v>
      </c>
      <c r="KE53">
        <v>48</v>
      </c>
      <c r="KF53">
        <v>157</v>
      </c>
      <c r="KG53">
        <v>132</v>
      </c>
      <c r="KH53">
        <v>792</v>
      </c>
      <c r="KI53">
        <v>0</v>
      </c>
      <c r="KJ53">
        <v>0</v>
      </c>
      <c r="KK53">
        <v>190</v>
      </c>
      <c r="KL53" s="1">
        <v>1474</v>
      </c>
      <c r="KM53" s="1">
        <v>10825</v>
      </c>
      <c r="KN53" s="1">
        <v>9348</v>
      </c>
      <c r="KO53">
        <v>898</v>
      </c>
      <c r="KQ53">
        <v>270</v>
      </c>
      <c r="KR53" s="1">
        <v>2718</v>
      </c>
      <c r="KS53" s="1">
        <v>6240</v>
      </c>
      <c r="KT53" s="1">
        <v>6130</v>
      </c>
      <c r="KU53">
        <v>15</v>
      </c>
      <c r="KV53">
        <v>38</v>
      </c>
      <c r="KW53" s="1">
        <v>18455</v>
      </c>
      <c r="KY53" s="1">
        <v>56192</v>
      </c>
      <c r="KZ53" s="1">
        <v>6977</v>
      </c>
      <c r="LC53" t="s">
        <v>1401</v>
      </c>
      <c r="LD53" t="s">
        <v>709</v>
      </c>
      <c r="LE53" t="s">
        <v>1399</v>
      </c>
      <c r="LF53" t="s">
        <v>1400</v>
      </c>
      <c r="LG53">
        <v>28752</v>
      </c>
      <c r="LH53">
        <v>3906</v>
      </c>
      <c r="LI53" t="s">
        <v>1399</v>
      </c>
      <c r="LJ53" t="s">
        <v>1400</v>
      </c>
      <c r="LK53">
        <v>28752</v>
      </c>
      <c r="LL53">
        <v>3906</v>
      </c>
      <c r="LM53" t="s">
        <v>1402</v>
      </c>
      <c r="LN53">
        <v>8286523858</v>
      </c>
      <c r="LO53">
        <v>8286522098</v>
      </c>
      <c r="LP53" s="1">
        <v>22290</v>
      </c>
      <c r="LQ53">
        <v>9</v>
      </c>
      <c r="LS53" s="1">
        <v>4186</v>
      </c>
      <c r="LT53">
        <v>104</v>
      </c>
      <c r="LW53">
        <v>2</v>
      </c>
      <c r="LX53" t="s">
        <v>1408</v>
      </c>
      <c r="LY53">
        <v>0</v>
      </c>
      <c r="LZ53" t="s">
        <v>691</v>
      </c>
      <c r="MA53">
        <v>94</v>
      </c>
      <c r="MB53">
        <v>91</v>
      </c>
    </row>
    <row r="54" spans="1:340" x14ac:dyDescent="0.25">
      <c r="A54" t="s">
        <v>1409</v>
      </c>
      <c r="B54">
        <v>0</v>
      </c>
      <c r="C54">
        <v>1375</v>
      </c>
      <c r="D54">
        <v>2017</v>
      </c>
      <c r="E54">
        <v>0</v>
      </c>
      <c r="F54" t="s">
        <v>1409</v>
      </c>
      <c r="G54" t="s">
        <v>1410</v>
      </c>
      <c r="H54" t="s">
        <v>668</v>
      </c>
      <c r="I54" t="s">
        <v>899</v>
      </c>
      <c r="J54" t="s">
        <v>870</v>
      </c>
      <c r="K54" t="s">
        <v>671</v>
      </c>
      <c r="L54" t="s">
        <v>900</v>
      </c>
      <c r="M54" t="s">
        <v>673</v>
      </c>
      <c r="N54" s="1">
        <v>37750</v>
      </c>
      <c r="O54" t="s">
        <v>674</v>
      </c>
      <c r="P54">
        <v>624</v>
      </c>
      <c r="Q54">
        <v>169</v>
      </c>
      <c r="R54">
        <v>123</v>
      </c>
      <c r="S54">
        <v>10</v>
      </c>
      <c r="T54" s="1">
        <v>5032</v>
      </c>
      <c r="U54">
        <v>215</v>
      </c>
      <c r="V54" s="1">
        <v>64213</v>
      </c>
      <c r="W54" s="1">
        <v>5098</v>
      </c>
      <c r="X54" s="1">
        <v>339416</v>
      </c>
      <c r="Y54" s="1">
        <v>295697</v>
      </c>
      <c r="Z54" t="s">
        <v>1411</v>
      </c>
      <c r="AA54" t="s">
        <v>1412</v>
      </c>
      <c r="AB54">
        <v>28115</v>
      </c>
      <c r="AC54">
        <v>3262</v>
      </c>
      <c r="AD54" t="s">
        <v>1411</v>
      </c>
      <c r="AE54" t="s">
        <v>1412</v>
      </c>
      <c r="AF54">
        <v>28115</v>
      </c>
      <c r="AG54">
        <v>3</v>
      </c>
      <c r="AH54" t="s">
        <v>1413</v>
      </c>
      <c r="AJ54" t="s">
        <v>904</v>
      </c>
      <c r="AK54" t="s">
        <v>1334</v>
      </c>
      <c r="AL54" t="s">
        <v>1414</v>
      </c>
      <c r="AM54" t="s">
        <v>1415</v>
      </c>
      <c r="AN54" t="s">
        <v>1416</v>
      </c>
      <c r="AO54" t="s">
        <v>1417</v>
      </c>
      <c r="AP54" t="s">
        <v>1418</v>
      </c>
      <c r="AQ54" t="s">
        <v>1419</v>
      </c>
      <c r="AR54" t="s">
        <v>1420</v>
      </c>
      <c r="AS54" t="s">
        <v>1421</v>
      </c>
      <c r="AT54" t="s">
        <v>1422</v>
      </c>
      <c r="AU54" t="s">
        <v>1423</v>
      </c>
      <c r="BC54">
        <v>1</v>
      </c>
      <c r="BD54">
        <v>0</v>
      </c>
      <c r="BE54">
        <v>0</v>
      </c>
      <c r="BF54">
        <v>1</v>
      </c>
      <c r="BG54">
        <v>2</v>
      </c>
      <c r="BI54" s="1">
        <v>3076</v>
      </c>
      <c r="BJ54">
        <v>6</v>
      </c>
      <c r="BK54">
        <v>1</v>
      </c>
      <c r="BL54">
        <v>7</v>
      </c>
      <c r="BM54">
        <v>20</v>
      </c>
      <c r="BN54">
        <v>27</v>
      </c>
      <c r="BO54" s="3">
        <v>0.22220000000000001</v>
      </c>
      <c r="BP54">
        <v>372</v>
      </c>
      <c r="BQ54" s="4">
        <v>87863</v>
      </c>
      <c r="BT54" s="1">
        <v>62367</v>
      </c>
      <c r="BY54" s="4">
        <v>39650</v>
      </c>
      <c r="BZ54" s="4">
        <v>62010</v>
      </c>
      <c r="CA54" s="4">
        <v>44500</v>
      </c>
      <c r="CG54" s="4">
        <v>43714</v>
      </c>
      <c r="CH54" s="4">
        <v>68366</v>
      </c>
      <c r="CI54" s="4">
        <v>49700</v>
      </c>
      <c r="CK54" s="4">
        <v>43714</v>
      </c>
      <c r="CL54" s="4">
        <v>68366</v>
      </c>
      <c r="CM54" s="1">
        <v>49700</v>
      </c>
      <c r="CV54" s="4">
        <v>39650</v>
      </c>
      <c r="CW54" s="4">
        <v>62010</v>
      </c>
      <c r="CX54" s="4">
        <v>44500</v>
      </c>
      <c r="DH54" s="4">
        <v>39650</v>
      </c>
      <c r="DI54" s="4">
        <v>62010</v>
      </c>
      <c r="DJ54" s="4">
        <v>44500</v>
      </c>
      <c r="DK54" s="4">
        <v>31067</v>
      </c>
      <c r="DL54" s="4">
        <v>48587</v>
      </c>
      <c r="DM54" s="4">
        <v>39827</v>
      </c>
      <c r="DO54" s="4">
        <v>28178</v>
      </c>
      <c r="DP54" s="4">
        <v>44069</v>
      </c>
      <c r="DQ54" s="4">
        <v>36123</v>
      </c>
      <c r="DV54" s="4">
        <v>910571</v>
      </c>
      <c r="DW54" s="4">
        <v>1287275</v>
      </c>
      <c r="DX54" s="4">
        <v>2197846</v>
      </c>
      <c r="DY54" s="4">
        <v>24381</v>
      </c>
      <c r="DZ54" s="4">
        <v>918</v>
      </c>
      <c r="EA54" s="4">
        <v>25299</v>
      </c>
      <c r="EB54" s="4">
        <v>0</v>
      </c>
      <c r="EC54" s="4">
        <v>0</v>
      </c>
      <c r="ED54" s="4">
        <v>0</v>
      </c>
      <c r="EE54" s="4">
        <v>74465</v>
      </c>
      <c r="EF54" s="4">
        <v>2297610</v>
      </c>
      <c r="EG54" s="4">
        <v>1094929</v>
      </c>
      <c r="EH54" s="4">
        <v>433406</v>
      </c>
      <c r="EI54" s="4">
        <v>1528335</v>
      </c>
      <c r="EJ54" s="4">
        <v>193852</v>
      </c>
      <c r="EK54" s="4">
        <v>68439</v>
      </c>
      <c r="EL54" s="4">
        <v>55797</v>
      </c>
      <c r="EM54" s="4">
        <v>318088</v>
      </c>
      <c r="EN54" s="4">
        <v>451187</v>
      </c>
      <c r="EO54" s="4">
        <v>2297610</v>
      </c>
      <c r="EP54" s="4">
        <v>0</v>
      </c>
      <c r="EQ54" s="3">
        <v>0</v>
      </c>
      <c r="ER54" s="4">
        <v>0</v>
      </c>
      <c r="ES54" s="4">
        <v>0</v>
      </c>
      <c r="ET54" s="4">
        <v>0</v>
      </c>
      <c r="EU54" s="4">
        <v>0</v>
      </c>
      <c r="EV54" s="4">
        <v>0</v>
      </c>
      <c r="EW54" s="4">
        <v>265558</v>
      </c>
      <c r="EX54" s="1">
        <v>100773</v>
      </c>
      <c r="EY54" s="1">
        <v>519152</v>
      </c>
      <c r="EZ54" s="1">
        <v>31075</v>
      </c>
      <c r="FA54" s="1">
        <v>7355</v>
      </c>
      <c r="FB54" s="1">
        <v>28982</v>
      </c>
      <c r="FC54" s="1">
        <v>27895</v>
      </c>
      <c r="FD54" s="1">
        <v>1810</v>
      </c>
      <c r="FE54" s="1">
        <v>21019</v>
      </c>
      <c r="FF54" s="1">
        <v>58970</v>
      </c>
      <c r="FG54" s="1">
        <v>9165</v>
      </c>
      <c r="FH54" s="1">
        <v>50001</v>
      </c>
      <c r="FI54" s="1">
        <v>118136</v>
      </c>
      <c r="FJ54">
        <v>4</v>
      </c>
      <c r="FK54">
        <v>121</v>
      </c>
      <c r="FM54" s="1">
        <v>118136</v>
      </c>
      <c r="FN54" s="1">
        <v>6523</v>
      </c>
      <c r="FO54" s="1">
        <v>10519</v>
      </c>
      <c r="FP54">
        <v>484</v>
      </c>
      <c r="FQ54">
        <v>10</v>
      </c>
      <c r="FR54">
        <v>88</v>
      </c>
      <c r="FS54">
        <v>98</v>
      </c>
      <c r="FT54" s="1">
        <v>44141</v>
      </c>
      <c r="FU54" s="1">
        <v>3505</v>
      </c>
      <c r="FV54">
        <v>0</v>
      </c>
      <c r="FW54">
        <v>0</v>
      </c>
      <c r="FX54" s="1">
        <v>8544</v>
      </c>
      <c r="FY54" s="1">
        <v>1573</v>
      </c>
      <c r="FZ54">
        <v>322</v>
      </c>
      <c r="GA54">
        <v>0</v>
      </c>
      <c r="GB54">
        <v>0</v>
      </c>
      <c r="GC54">
        <v>0</v>
      </c>
      <c r="GD54">
        <v>0</v>
      </c>
      <c r="GE54">
        <v>0</v>
      </c>
      <c r="GF54" s="1">
        <v>36593</v>
      </c>
      <c r="GG54" s="1">
        <v>13194</v>
      </c>
      <c r="GH54">
        <v>264</v>
      </c>
      <c r="GI54">
        <v>12</v>
      </c>
      <c r="GJ54" s="1">
        <v>208281</v>
      </c>
      <c r="GK54" s="1">
        <v>52785</v>
      </c>
      <c r="GL54" s="1">
        <v>13983</v>
      </c>
      <c r="GM54">
        <v>70</v>
      </c>
      <c r="GN54" s="1">
        <v>297559</v>
      </c>
      <c r="GO54" s="1">
        <v>71057</v>
      </c>
      <c r="GP54" s="1">
        <v>14569</v>
      </c>
      <c r="GQ54">
        <v>82</v>
      </c>
      <c r="GR54">
        <v>35</v>
      </c>
      <c r="GT54" s="1">
        <v>73957</v>
      </c>
      <c r="GU54" s="1">
        <v>12616</v>
      </c>
      <c r="GV54" s="1">
        <v>154767</v>
      </c>
      <c r="GW54" s="1">
        <v>37016</v>
      </c>
      <c r="GX54" s="1">
        <v>1177</v>
      </c>
      <c r="GY54" s="1">
        <v>51982</v>
      </c>
      <c r="GZ54" s="1">
        <v>110973</v>
      </c>
      <c r="HA54" s="1">
        <v>13793</v>
      </c>
      <c r="HB54" s="1">
        <v>206749</v>
      </c>
      <c r="HC54" s="1">
        <v>331515</v>
      </c>
      <c r="HD54">
        <v>89</v>
      </c>
      <c r="HE54" s="1">
        <v>331605</v>
      </c>
      <c r="HF54" s="1">
        <v>24104</v>
      </c>
      <c r="HG54" s="1">
        <v>86891</v>
      </c>
      <c r="HH54">
        <v>1</v>
      </c>
      <c r="HI54">
        <v>132</v>
      </c>
      <c r="HJ54" s="1">
        <v>111127</v>
      </c>
      <c r="HK54" s="1">
        <v>442732</v>
      </c>
      <c r="HL54">
        <v>54</v>
      </c>
      <c r="HM54" s="1">
        <v>37014</v>
      </c>
      <c r="HN54" s="1">
        <v>37068</v>
      </c>
      <c r="HO54">
        <v>363</v>
      </c>
      <c r="HP54" s="1">
        <v>20651</v>
      </c>
      <c r="HQ54" s="1">
        <v>21014</v>
      </c>
      <c r="HR54">
        <v>0</v>
      </c>
      <c r="HS54" s="1">
        <v>1525</v>
      </c>
      <c r="HT54" s="1">
        <v>1525</v>
      </c>
      <c r="HU54" s="1">
        <v>1696</v>
      </c>
      <c r="HV54" s="1">
        <v>61303</v>
      </c>
      <c r="HW54" s="1">
        <v>8727</v>
      </c>
      <c r="HX54" s="1">
        <v>1606</v>
      </c>
      <c r="HY54" s="1">
        <v>10333</v>
      </c>
      <c r="HZ54" s="1">
        <v>71636</v>
      </c>
      <c r="IA54" s="1">
        <v>45118</v>
      </c>
      <c r="IB54" s="1">
        <v>133534</v>
      </c>
      <c r="IC54" s="1">
        <v>504035</v>
      </c>
      <c r="ID54" s="1">
        <v>504035</v>
      </c>
      <c r="IE54" s="1">
        <v>514368</v>
      </c>
      <c r="IF54" s="1">
        <v>264279</v>
      </c>
      <c r="IG54">
        <v>91</v>
      </c>
      <c r="IJ54">
        <v>1</v>
      </c>
      <c r="IK54" s="3">
        <v>4.8300000000000003E-2</v>
      </c>
      <c r="IL54" s="3">
        <v>2.0000000000000001E-4</v>
      </c>
      <c r="IM54" s="3">
        <v>0.73829999999999996</v>
      </c>
      <c r="IN54" s="3">
        <v>0</v>
      </c>
      <c r="IO54" s="3">
        <v>0.57320000000000004</v>
      </c>
      <c r="IP54" s="3">
        <v>2.0000000000000001E-4</v>
      </c>
      <c r="IQ54" s="3">
        <v>0.2276</v>
      </c>
      <c r="IR54" s="3">
        <v>0.14940000000000001</v>
      </c>
      <c r="IS54" s="3">
        <v>0.52429999999999999</v>
      </c>
      <c r="IT54" s="1">
        <v>37161</v>
      </c>
      <c r="IU54" s="1">
        <v>9415</v>
      </c>
      <c r="IV54" s="1">
        <v>46576</v>
      </c>
      <c r="IW54" s="3">
        <v>1.2338</v>
      </c>
      <c r="IX54" s="1">
        <v>213952</v>
      </c>
      <c r="IZ54">
        <v>200</v>
      </c>
      <c r="JA54">
        <v>44</v>
      </c>
      <c r="JB54">
        <v>512</v>
      </c>
      <c r="JC54">
        <v>12</v>
      </c>
      <c r="JD54">
        <v>5</v>
      </c>
      <c r="JE54">
        <v>302</v>
      </c>
      <c r="JF54">
        <v>212</v>
      </c>
      <c r="JG54">
        <v>49</v>
      </c>
      <c r="JH54">
        <v>814</v>
      </c>
      <c r="JI54" s="1">
        <v>1075</v>
      </c>
      <c r="JJ54">
        <v>756</v>
      </c>
      <c r="JK54">
        <v>319</v>
      </c>
      <c r="JL54" s="1">
        <v>2483</v>
      </c>
      <c r="JM54" s="1">
        <v>1362</v>
      </c>
      <c r="JN54" s="1">
        <v>19072</v>
      </c>
      <c r="JO54">
        <v>200</v>
      </c>
      <c r="JP54">
        <v>273</v>
      </c>
      <c r="JQ54" s="1">
        <v>25392</v>
      </c>
      <c r="JR54" s="1">
        <v>2683</v>
      </c>
      <c r="JS54" s="1">
        <v>1635</v>
      </c>
      <c r="JT54" s="1">
        <v>44464</v>
      </c>
      <c r="JU54" s="1">
        <v>48782</v>
      </c>
      <c r="JV54" s="1">
        <v>22917</v>
      </c>
      <c r="JW54" s="1">
        <v>25865</v>
      </c>
      <c r="JX54">
        <v>45.38</v>
      </c>
      <c r="JY54">
        <v>12.66</v>
      </c>
      <c r="JZ54">
        <v>54.62</v>
      </c>
      <c r="KA54">
        <v>0.06</v>
      </c>
      <c r="KB54">
        <v>0.91</v>
      </c>
      <c r="KC54">
        <v>37</v>
      </c>
      <c r="KD54">
        <v>82</v>
      </c>
      <c r="KE54">
        <v>8</v>
      </c>
      <c r="KF54">
        <v>31</v>
      </c>
      <c r="KG54">
        <v>343</v>
      </c>
      <c r="KH54" s="1">
        <v>12480</v>
      </c>
      <c r="KI54">
        <v>52</v>
      </c>
      <c r="KJ54">
        <v>609</v>
      </c>
      <c r="KK54">
        <v>128</v>
      </c>
      <c r="KL54" s="1">
        <v>1798</v>
      </c>
      <c r="KM54" s="1">
        <v>20616</v>
      </c>
      <c r="KN54" s="1">
        <v>6479</v>
      </c>
      <c r="KO54">
        <v>213</v>
      </c>
      <c r="KQ54">
        <v>198</v>
      </c>
      <c r="KR54" s="1">
        <v>1221</v>
      </c>
      <c r="KS54">
        <v>70</v>
      </c>
      <c r="KT54">
        <v>122</v>
      </c>
      <c r="KU54">
        <v>30</v>
      </c>
      <c r="KV54">
        <v>47</v>
      </c>
      <c r="KW54" s="1">
        <v>32882</v>
      </c>
      <c r="KY54" s="1">
        <v>60455</v>
      </c>
      <c r="KZ54" s="1">
        <v>18854</v>
      </c>
      <c r="LC54" t="s">
        <v>1413</v>
      </c>
      <c r="LD54" t="s">
        <v>689</v>
      </c>
      <c r="LE54" t="s">
        <v>1411</v>
      </c>
      <c r="LF54" t="s">
        <v>1412</v>
      </c>
      <c r="LG54">
        <v>28115</v>
      </c>
      <c r="LH54">
        <v>3262</v>
      </c>
      <c r="LI54" t="s">
        <v>1411</v>
      </c>
      <c r="LJ54" t="s">
        <v>1412</v>
      </c>
      <c r="LK54">
        <v>28115</v>
      </c>
      <c r="LL54">
        <v>3262</v>
      </c>
      <c r="LM54" t="s">
        <v>1334</v>
      </c>
      <c r="LN54">
        <v>7046642927</v>
      </c>
      <c r="LO54">
        <v>7047994106</v>
      </c>
      <c r="LP54" s="1">
        <v>34000</v>
      </c>
      <c r="LQ54">
        <v>27</v>
      </c>
      <c r="LS54" s="1">
        <v>3076</v>
      </c>
      <c r="LT54">
        <v>52</v>
      </c>
      <c r="LW54">
        <v>2</v>
      </c>
      <c r="LX54" t="s">
        <v>1424</v>
      </c>
      <c r="LY54">
        <v>0</v>
      </c>
      <c r="LZ54" t="s">
        <v>691</v>
      </c>
      <c r="MA54">
        <v>611.70000000000005</v>
      </c>
      <c r="MB54">
        <v>724.37</v>
      </c>
    </row>
    <row r="55" spans="1:340" x14ac:dyDescent="0.25">
      <c r="A55" t="s">
        <v>1425</v>
      </c>
      <c r="B55">
        <v>0</v>
      </c>
      <c r="C55">
        <v>1375</v>
      </c>
      <c r="D55">
        <v>2017</v>
      </c>
      <c r="E55">
        <v>0</v>
      </c>
      <c r="F55" t="s">
        <v>1425</v>
      </c>
      <c r="G55" t="s">
        <v>1426</v>
      </c>
      <c r="H55" t="s">
        <v>668</v>
      </c>
      <c r="I55" t="s">
        <v>694</v>
      </c>
      <c r="J55" t="s">
        <v>670</v>
      </c>
      <c r="K55" t="s">
        <v>671</v>
      </c>
      <c r="L55" t="s">
        <v>695</v>
      </c>
      <c r="M55" t="s">
        <v>673</v>
      </c>
      <c r="N55" s="1">
        <v>47567</v>
      </c>
      <c r="O55" t="s">
        <v>674</v>
      </c>
      <c r="P55">
        <v>257</v>
      </c>
      <c r="Q55">
        <v>52</v>
      </c>
      <c r="R55">
        <v>86</v>
      </c>
      <c r="S55">
        <v>9</v>
      </c>
      <c r="T55" s="1">
        <v>2424</v>
      </c>
      <c r="U55">
        <v>69</v>
      </c>
      <c r="V55" s="1">
        <v>12599</v>
      </c>
      <c r="W55" s="1">
        <v>1753</v>
      </c>
      <c r="X55" s="1">
        <v>349520</v>
      </c>
      <c r="Y55" s="1">
        <v>136320</v>
      </c>
      <c r="Z55" t="s">
        <v>1427</v>
      </c>
      <c r="AA55" t="s">
        <v>1428</v>
      </c>
      <c r="AB55">
        <v>28906</v>
      </c>
      <c r="AC55">
        <v>2950</v>
      </c>
      <c r="AD55" t="s">
        <v>1427</v>
      </c>
      <c r="AE55" t="s">
        <v>1428</v>
      </c>
      <c r="AF55">
        <v>28906</v>
      </c>
      <c r="AG55">
        <v>2</v>
      </c>
      <c r="AH55" t="s">
        <v>1429</v>
      </c>
      <c r="AJ55" t="s">
        <v>700</v>
      </c>
      <c r="AK55" t="s">
        <v>1430</v>
      </c>
      <c r="AL55" t="s">
        <v>1431</v>
      </c>
      <c r="AM55" t="s">
        <v>1432</v>
      </c>
      <c r="AN55" t="s">
        <v>1433</v>
      </c>
      <c r="AO55" t="s">
        <v>1434</v>
      </c>
      <c r="AP55" t="s">
        <v>1431</v>
      </c>
      <c r="AQ55" t="s">
        <v>1435</v>
      </c>
      <c r="AR55" t="s">
        <v>1432</v>
      </c>
      <c r="AS55" t="s">
        <v>1433</v>
      </c>
      <c r="AT55" t="s">
        <v>1434</v>
      </c>
      <c r="AU55" t="s">
        <v>1436</v>
      </c>
      <c r="BC55">
        <v>0</v>
      </c>
      <c r="BD55">
        <v>5</v>
      </c>
      <c r="BE55">
        <v>1</v>
      </c>
      <c r="BF55">
        <v>0</v>
      </c>
      <c r="BG55">
        <v>6</v>
      </c>
      <c r="BI55" s="1">
        <v>11986</v>
      </c>
      <c r="BJ55">
        <v>2.88</v>
      </c>
      <c r="BK55">
        <v>0</v>
      </c>
      <c r="BL55">
        <v>2.88</v>
      </c>
      <c r="BM55">
        <v>11.44</v>
      </c>
      <c r="BN55">
        <v>14.32</v>
      </c>
      <c r="BO55" s="3">
        <v>0.2011</v>
      </c>
      <c r="BP55" s="1">
        <v>2329</v>
      </c>
      <c r="BQ55" s="4">
        <v>54075</v>
      </c>
      <c r="BT55">
        <v>0</v>
      </c>
      <c r="BU55" s="4">
        <v>26244</v>
      </c>
      <c r="BV55" s="4">
        <v>38813</v>
      </c>
      <c r="BW55" s="4">
        <v>33352</v>
      </c>
      <c r="BY55" s="4">
        <v>42000</v>
      </c>
      <c r="BZ55" s="4">
        <v>42000</v>
      </c>
      <c r="CA55" s="4">
        <v>42000</v>
      </c>
      <c r="CC55" s="4">
        <v>0</v>
      </c>
      <c r="CD55" s="4">
        <v>0</v>
      </c>
      <c r="CE55">
        <v>0</v>
      </c>
      <c r="CG55" s="4">
        <v>0</v>
      </c>
      <c r="CH55" s="4">
        <v>0</v>
      </c>
      <c r="CI55" s="4">
        <v>0</v>
      </c>
      <c r="CK55" s="4">
        <v>0</v>
      </c>
      <c r="CL55" s="4">
        <v>0</v>
      </c>
      <c r="CM55">
        <v>0</v>
      </c>
      <c r="CO55" s="4">
        <v>27914</v>
      </c>
      <c r="CP55" s="4">
        <v>27914</v>
      </c>
      <c r="CQ55" s="4">
        <v>27914</v>
      </c>
      <c r="CR55" s="4">
        <v>0</v>
      </c>
      <c r="CS55" s="4">
        <v>0</v>
      </c>
      <c r="CT55" s="4">
        <v>0</v>
      </c>
      <c r="CV55" s="4">
        <v>0</v>
      </c>
      <c r="CW55" s="4">
        <v>0</v>
      </c>
      <c r="CX55" s="4">
        <v>0</v>
      </c>
      <c r="CZ55" s="4">
        <v>0</v>
      </c>
      <c r="DA55" s="4">
        <v>0</v>
      </c>
      <c r="DB55" s="4">
        <v>0</v>
      </c>
      <c r="DD55" s="4">
        <v>0</v>
      </c>
      <c r="DE55" s="4">
        <v>0</v>
      </c>
      <c r="DF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O55" s="4">
        <v>15406</v>
      </c>
      <c r="DP55" s="4">
        <v>23586</v>
      </c>
      <c r="DQ55" s="4">
        <v>20602</v>
      </c>
      <c r="DS55" s="4">
        <v>0</v>
      </c>
      <c r="DT55" s="4">
        <v>0</v>
      </c>
      <c r="DU55" s="4">
        <v>0</v>
      </c>
      <c r="DV55" s="4">
        <v>484095</v>
      </c>
      <c r="DW55" s="4">
        <v>365084</v>
      </c>
      <c r="DX55" s="4">
        <v>849179</v>
      </c>
      <c r="DY55" s="4">
        <v>295570</v>
      </c>
      <c r="DZ55" s="4">
        <v>0</v>
      </c>
      <c r="EA55" s="4">
        <v>295570</v>
      </c>
      <c r="EB55" s="4">
        <v>0</v>
      </c>
      <c r="EC55" s="4">
        <v>0</v>
      </c>
      <c r="ED55" s="4">
        <v>0</v>
      </c>
      <c r="EE55" s="4">
        <v>83020</v>
      </c>
      <c r="EF55" s="4">
        <v>1227769</v>
      </c>
      <c r="EG55" s="4">
        <v>514024</v>
      </c>
      <c r="EH55" s="4">
        <v>272534</v>
      </c>
      <c r="EI55" s="4">
        <v>786558</v>
      </c>
      <c r="EJ55" s="4">
        <v>75001</v>
      </c>
      <c r="EK55" s="4">
        <v>18447</v>
      </c>
      <c r="EL55" s="4">
        <v>5740</v>
      </c>
      <c r="EM55" s="4">
        <v>99188</v>
      </c>
      <c r="EN55" s="4">
        <v>216644</v>
      </c>
      <c r="EO55" s="4">
        <v>1102390</v>
      </c>
      <c r="EP55" s="4">
        <v>125379</v>
      </c>
      <c r="EQ55" s="3">
        <v>0.1021</v>
      </c>
      <c r="ER55" s="4">
        <v>0</v>
      </c>
      <c r="ES55" s="4">
        <v>0</v>
      </c>
      <c r="ET55" s="4">
        <v>0</v>
      </c>
      <c r="EU55" s="4">
        <v>35000</v>
      </c>
      <c r="EV55" s="4">
        <v>35000</v>
      </c>
      <c r="EW55" s="4">
        <v>40950</v>
      </c>
      <c r="EX55" s="1">
        <v>20427</v>
      </c>
      <c r="EY55" s="1">
        <v>220404</v>
      </c>
      <c r="EZ55" s="1">
        <v>64481</v>
      </c>
      <c r="FA55" s="1">
        <v>5143</v>
      </c>
      <c r="FB55" s="1">
        <v>28145</v>
      </c>
      <c r="FC55" s="1">
        <v>35857</v>
      </c>
      <c r="FD55">
        <v>469</v>
      </c>
      <c r="FE55" s="1">
        <v>10942</v>
      </c>
      <c r="FF55" s="1">
        <v>100338</v>
      </c>
      <c r="FG55" s="1">
        <v>5612</v>
      </c>
      <c r="FH55" s="1">
        <v>39087</v>
      </c>
      <c r="FI55" s="1">
        <v>145037</v>
      </c>
      <c r="FJ55">
        <v>0</v>
      </c>
      <c r="FK55">
        <v>197</v>
      </c>
      <c r="FM55" s="1">
        <v>145037</v>
      </c>
      <c r="FN55" s="1">
        <v>5745</v>
      </c>
      <c r="FO55" s="1">
        <v>10998</v>
      </c>
      <c r="FP55">
        <v>49</v>
      </c>
      <c r="FQ55">
        <v>3</v>
      </c>
      <c r="FR55">
        <v>88</v>
      </c>
      <c r="FS55">
        <v>91</v>
      </c>
      <c r="FT55" s="1">
        <v>44141</v>
      </c>
      <c r="FU55" s="1">
        <v>3505</v>
      </c>
      <c r="FV55">
        <v>0</v>
      </c>
      <c r="FW55">
        <v>0</v>
      </c>
      <c r="FX55" s="1">
        <v>8544</v>
      </c>
      <c r="FY55" s="1">
        <v>1573</v>
      </c>
      <c r="FZ55">
        <v>322</v>
      </c>
      <c r="GA55">
        <v>0</v>
      </c>
      <c r="GE55">
        <v>0</v>
      </c>
      <c r="GJ55">
        <v>23</v>
      </c>
      <c r="GK55">
        <v>165</v>
      </c>
      <c r="GL55">
        <v>14</v>
      </c>
      <c r="GM55">
        <v>0</v>
      </c>
      <c r="GN55" s="1">
        <v>52708</v>
      </c>
      <c r="GO55" s="1">
        <v>5243</v>
      </c>
      <c r="GP55">
        <v>336</v>
      </c>
      <c r="GQ55">
        <v>0</v>
      </c>
      <c r="GR55">
        <v>61</v>
      </c>
      <c r="GT55" s="1">
        <v>99751</v>
      </c>
      <c r="GU55" s="1">
        <v>5313</v>
      </c>
      <c r="GV55" s="1">
        <v>48134</v>
      </c>
      <c r="GW55" s="1">
        <v>13856</v>
      </c>
      <c r="GX55">
        <v>159</v>
      </c>
      <c r="GY55" s="1">
        <v>10109</v>
      </c>
      <c r="GZ55" s="1">
        <v>113607</v>
      </c>
      <c r="HA55" s="1">
        <v>5472</v>
      </c>
      <c r="HB55" s="1">
        <v>58243</v>
      </c>
      <c r="HC55" s="1">
        <v>177322</v>
      </c>
      <c r="HD55" s="1">
        <v>3619</v>
      </c>
      <c r="HE55" s="1">
        <v>180941</v>
      </c>
      <c r="HF55" s="1">
        <v>9322</v>
      </c>
      <c r="HG55" s="1">
        <v>49551</v>
      </c>
      <c r="HH55">
        <v>0</v>
      </c>
      <c r="HI55">
        <v>26</v>
      </c>
      <c r="HJ55" s="1">
        <v>58899</v>
      </c>
      <c r="HK55" s="1">
        <v>239840</v>
      </c>
      <c r="HL55">
        <v>54</v>
      </c>
      <c r="HM55">
        <v>74</v>
      </c>
      <c r="HN55">
        <v>128</v>
      </c>
      <c r="HO55" s="1">
        <v>1046</v>
      </c>
      <c r="HP55">
        <v>438</v>
      </c>
      <c r="HQ55" s="1">
        <v>1484</v>
      </c>
      <c r="HR55">
        <v>0</v>
      </c>
      <c r="HS55">
        <v>188</v>
      </c>
      <c r="HT55">
        <v>188</v>
      </c>
      <c r="HU55">
        <v>0</v>
      </c>
      <c r="HV55" s="1">
        <v>1800</v>
      </c>
      <c r="HW55" s="1">
        <v>10777</v>
      </c>
      <c r="HX55" s="1">
        <v>54504</v>
      </c>
      <c r="HY55" s="1">
        <v>65281</v>
      </c>
      <c r="HZ55" s="1">
        <v>67081</v>
      </c>
      <c r="IA55" s="1">
        <v>10806</v>
      </c>
      <c r="IB55" s="1">
        <v>60545</v>
      </c>
      <c r="IC55" s="1">
        <v>241640</v>
      </c>
      <c r="ID55" s="1">
        <v>241640</v>
      </c>
      <c r="IE55" s="1">
        <v>306921</v>
      </c>
      <c r="IF55" s="1">
        <v>63449</v>
      </c>
      <c r="IG55">
        <v>526</v>
      </c>
      <c r="IJ55">
        <v>1</v>
      </c>
      <c r="IK55" s="3">
        <v>5.1400000000000001E-2</v>
      </c>
      <c r="IL55" s="3">
        <v>8.9999999999999998E-4</v>
      </c>
      <c r="IM55" s="3">
        <v>0.26450000000000001</v>
      </c>
      <c r="IN55" s="3">
        <v>0</v>
      </c>
      <c r="IO55" s="3">
        <v>0.23910000000000001</v>
      </c>
      <c r="IP55" s="3">
        <v>4.0000000000000002E-4</v>
      </c>
      <c r="IQ55" s="3">
        <v>0.65810000000000002</v>
      </c>
      <c r="IR55" s="3">
        <v>4.99E-2</v>
      </c>
      <c r="IS55" s="3">
        <v>0.2626</v>
      </c>
      <c r="IT55" s="1">
        <v>16809</v>
      </c>
      <c r="IU55" s="1">
        <v>2305</v>
      </c>
      <c r="IV55" s="1">
        <v>19114</v>
      </c>
      <c r="IW55" s="3">
        <v>0.40179999999999999</v>
      </c>
      <c r="IX55" s="1">
        <v>252387</v>
      </c>
      <c r="IZ55">
        <v>294</v>
      </c>
      <c r="JA55">
        <v>22</v>
      </c>
      <c r="JB55">
        <v>295</v>
      </c>
      <c r="JC55">
        <v>43</v>
      </c>
      <c r="JD55">
        <v>0</v>
      </c>
      <c r="JE55">
        <v>192</v>
      </c>
      <c r="JF55">
        <v>337</v>
      </c>
      <c r="JG55">
        <v>22</v>
      </c>
      <c r="JH55">
        <v>487</v>
      </c>
      <c r="JI55">
        <v>846</v>
      </c>
      <c r="JJ55">
        <v>611</v>
      </c>
      <c r="JK55">
        <v>235</v>
      </c>
      <c r="JL55" s="1">
        <v>4856</v>
      </c>
      <c r="JM55">
        <v>241</v>
      </c>
      <c r="JN55" s="1">
        <v>7290</v>
      </c>
      <c r="JO55">
        <v>517</v>
      </c>
      <c r="JP55">
        <v>0</v>
      </c>
      <c r="JQ55" s="1">
        <v>4041</v>
      </c>
      <c r="JR55" s="1">
        <v>5373</v>
      </c>
      <c r="JS55">
        <v>241</v>
      </c>
      <c r="JT55" s="1">
        <v>11331</v>
      </c>
      <c r="JU55" s="1">
        <v>16945</v>
      </c>
      <c r="JV55" s="1">
        <v>12387</v>
      </c>
      <c r="JW55" s="1">
        <v>4558</v>
      </c>
      <c r="JX55">
        <v>20.03</v>
      </c>
      <c r="JY55">
        <v>15.94</v>
      </c>
      <c r="JZ55">
        <v>23.27</v>
      </c>
      <c r="KA55">
        <v>0.32</v>
      </c>
      <c r="KB55">
        <v>0.67</v>
      </c>
      <c r="KC55">
        <v>0</v>
      </c>
      <c r="KD55">
        <v>0</v>
      </c>
      <c r="KE55">
        <v>25</v>
      </c>
      <c r="KF55">
        <v>102</v>
      </c>
      <c r="KG55">
        <v>369</v>
      </c>
      <c r="KH55" s="1">
        <v>8987</v>
      </c>
      <c r="KI55">
        <v>0</v>
      </c>
      <c r="KJ55">
        <v>0</v>
      </c>
      <c r="KK55">
        <v>1</v>
      </c>
      <c r="KL55">
        <v>27</v>
      </c>
      <c r="KM55" s="1">
        <v>73446</v>
      </c>
      <c r="KN55" s="1">
        <v>2505</v>
      </c>
      <c r="KO55">
        <v>164</v>
      </c>
      <c r="KQ55">
        <v>268</v>
      </c>
      <c r="KR55" s="1">
        <v>2970</v>
      </c>
      <c r="KS55">
        <v>21</v>
      </c>
      <c r="KT55">
        <v>119</v>
      </c>
      <c r="KU55">
        <v>31</v>
      </c>
      <c r="KV55">
        <v>84</v>
      </c>
      <c r="KW55" s="1">
        <v>54504</v>
      </c>
      <c r="KY55" s="1">
        <v>189775</v>
      </c>
      <c r="KZ55" s="1">
        <v>11284</v>
      </c>
      <c r="LC55" t="s">
        <v>1437</v>
      </c>
      <c r="LD55" t="s">
        <v>689</v>
      </c>
      <c r="LE55" t="s">
        <v>1438</v>
      </c>
      <c r="LF55" t="s">
        <v>1439</v>
      </c>
      <c r="LG55">
        <v>28901</v>
      </c>
      <c r="LH55">
        <v>700</v>
      </c>
      <c r="LI55" t="s">
        <v>1440</v>
      </c>
      <c r="LJ55" t="s">
        <v>1439</v>
      </c>
      <c r="LK55">
        <v>28901</v>
      </c>
      <c r="LL55">
        <v>700</v>
      </c>
      <c r="LM55" t="s">
        <v>1430</v>
      </c>
      <c r="LN55">
        <v>8283215956</v>
      </c>
      <c r="LO55">
        <v>8283213256</v>
      </c>
      <c r="LP55" s="1">
        <v>51868</v>
      </c>
      <c r="LQ55">
        <v>12.44</v>
      </c>
      <c r="LS55" s="1">
        <v>11986</v>
      </c>
      <c r="LT55">
        <v>260</v>
      </c>
      <c r="LW55">
        <v>2</v>
      </c>
      <c r="LX55" t="s">
        <v>1441</v>
      </c>
      <c r="LY55">
        <v>0</v>
      </c>
      <c r="LZ55" t="s">
        <v>738</v>
      </c>
      <c r="MA55">
        <v>85.8</v>
      </c>
      <c r="MB55">
        <v>95.06</v>
      </c>
    </row>
    <row r="56" spans="1:340" x14ac:dyDescent="0.25">
      <c r="A56" t="s">
        <v>1442</v>
      </c>
      <c r="B56">
        <v>0</v>
      </c>
      <c r="C56">
        <v>1375</v>
      </c>
      <c r="D56">
        <v>2017</v>
      </c>
      <c r="E56">
        <v>0</v>
      </c>
      <c r="F56" t="s">
        <v>1442</v>
      </c>
      <c r="G56" t="s">
        <v>1443</v>
      </c>
      <c r="H56" t="s">
        <v>668</v>
      </c>
      <c r="I56" t="s">
        <v>694</v>
      </c>
      <c r="J56" t="s">
        <v>670</v>
      </c>
      <c r="K56" t="s">
        <v>671</v>
      </c>
      <c r="L56" t="s">
        <v>695</v>
      </c>
      <c r="M56" t="s">
        <v>673</v>
      </c>
      <c r="N56" s="1">
        <v>89919</v>
      </c>
      <c r="O56" t="s">
        <v>674</v>
      </c>
      <c r="P56">
        <v>661</v>
      </c>
      <c r="Q56">
        <v>10</v>
      </c>
      <c r="R56">
        <v>125</v>
      </c>
      <c r="S56">
        <v>6</v>
      </c>
      <c r="T56" s="1">
        <v>2849</v>
      </c>
      <c r="U56">
        <v>93</v>
      </c>
      <c r="V56" s="1">
        <v>13192</v>
      </c>
      <c r="W56" s="1">
        <v>2894</v>
      </c>
      <c r="X56" s="1">
        <v>247650</v>
      </c>
      <c r="Y56" s="1">
        <v>115000</v>
      </c>
      <c r="Z56" t="s">
        <v>1444</v>
      </c>
      <c r="AA56" t="s">
        <v>1445</v>
      </c>
      <c r="AB56">
        <v>28501</v>
      </c>
      <c r="AC56">
        <v>4330</v>
      </c>
      <c r="AD56" t="s">
        <v>1444</v>
      </c>
      <c r="AE56" t="s">
        <v>1445</v>
      </c>
      <c r="AF56">
        <v>28501</v>
      </c>
      <c r="AG56">
        <v>2</v>
      </c>
      <c r="AH56" t="s">
        <v>1446</v>
      </c>
      <c r="AJ56" t="s">
        <v>700</v>
      </c>
      <c r="AK56" t="s">
        <v>858</v>
      </c>
      <c r="AL56" t="s">
        <v>1447</v>
      </c>
      <c r="AM56" t="s">
        <v>1448</v>
      </c>
      <c r="AN56" t="s">
        <v>1449</v>
      </c>
      <c r="AO56" t="s">
        <v>1450</v>
      </c>
      <c r="AP56" t="s">
        <v>1451</v>
      </c>
      <c r="AQ56" t="s">
        <v>1122</v>
      </c>
      <c r="AR56" t="s">
        <v>1448</v>
      </c>
      <c r="AS56" t="s">
        <v>1449</v>
      </c>
      <c r="AT56" t="s">
        <v>1452</v>
      </c>
      <c r="AU56" t="s">
        <v>1453</v>
      </c>
      <c r="BC56">
        <v>1</v>
      </c>
      <c r="BD56">
        <v>7</v>
      </c>
      <c r="BE56">
        <v>0</v>
      </c>
      <c r="BF56">
        <v>4</v>
      </c>
      <c r="BG56">
        <v>12</v>
      </c>
      <c r="BI56" s="1">
        <v>17368</v>
      </c>
      <c r="BJ56">
        <v>6</v>
      </c>
      <c r="BK56">
        <v>0</v>
      </c>
      <c r="BL56">
        <v>6</v>
      </c>
      <c r="BM56">
        <v>24.08</v>
      </c>
      <c r="BN56">
        <v>30.08</v>
      </c>
      <c r="BO56" s="3">
        <v>0.19950000000000001</v>
      </c>
      <c r="BP56">
        <v>495</v>
      </c>
      <c r="BQ56" s="4">
        <v>187260</v>
      </c>
      <c r="BT56">
        <v>0</v>
      </c>
      <c r="BU56" s="4">
        <v>27588</v>
      </c>
      <c r="BV56" s="4">
        <v>48648</v>
      </c>
      <c r="BW56" s="4">
        <v>37000</v>
      </c>
      <c r="BY56" s="4">
        <v>39936</v>
      </c>
      <c r="BZ56" s="4">
        <v>70452</v>
      </c>
      <c r="CA56" s="4">
        <v>40000</v>
      </c>
      <c r="CC56" s="4">
        <v>38016</v>
      </c>
      <c r="CD56" s="4">
        <v>67056</v>
      </c>
      <c r="CE56" s="1">
        <v>40000</v>
      </c>
      <c r="CG56" s="4">
        <v>27588</v>
      </c>
      <c r="CH56" s="4">
        <v>48648</v>
      </c>
      <c r="CI56" s="4">
        <v>32000</v>
      </c>
      <c r="CK56" s="4">
        <v>27588</v>
      </c>
      <c r="CL56" s="4">
        <v>48648</v>
      </c>
      <c r="CM56" s="1">
        <v>35000</v>
      </c>
      <c r="CO56" s="4">
        <v>39936</v>
      </c>
      <c r="CP56" s="4">
        <v>70452</v>
      </c>
      <c r="CQ56" s="4">
        <v>45000</v>
      </c>
      <c r="CR56" s="4">
        <v>28272</v>
      </c>
      <c r="CS56" s="4">
        <v>49860</v>
      </c>
      <c r="CT56" s="4">
        <v>30000</v>
      </c>
      <c r="CV56" s="4">
        <v>25620</v>
      </c>
      <c r="CW56" s="4">
        <v>45180</v>
      </c>
      <c r="CX56" s="4">
        <v>32000</v>
      </c>
      <c r="CZ56" s="4">
        <v>27588</v>
      </c>
      <c r="DA56" s="4">
        <v>48648</v>
      </c>
      <c r="DB56" s="4">
        <v>32000</v>
      </c>
      <c r="DD56" s="4">
        <v>25620</v>
      </c>
      <c r="DE56" s="4">
        <v>45180</v>
      </c>
      <c r="DF56" s="4">
        <v>28000</v>
      </c>
      <c r="DH56" s="4">
        <v>27588</v>
      </c>
      <c r="DI56" s="4">
        <v>48648</v>
      </c>
      <c r="DJ56" s="4">
        <v>32000</v>
      </c>
      <c r="DK56" s="4">
        <v>25620</v>
      </c>
      <c r="DL56" s="4">
        <v>45180</v>
      </c>
      <c r="DM56" s="4">
        <v>26000</v>
      </c>
      <c r="DO56" s="4">
        <v>20004</v>
      </c>
      <c r="DP56" s="4">
        <v>35304</v>
      </c>
      <c r="DQ56" s="4">
        <v>20500</v>
      </c>
      <c r="DV56" s="4">
        <v>204250</v>
      </c>
      <c r="DW56" s="4">
        <v>960756</v>
      </c>
      <c r="DX56" s="4">
        <v>1165006</v>
      </c>
      <c r="DY56" s="4">
        <v>334704</v>
      </c>
      <c r="DZ56" s="4">
        <v>0</v>
      </c>
      <c r="EA56" s="4">
        <v>334704</v>
      </c>
      <c r="EB56" s="4">
        <v>31000</v>
      </c>
      <c r="EC56" s="4">
        <v>0</v>
      </c>
      <c r="ED56" s="4">
        <v>31000</v>
      </c>
      <c r="EE56" s="4">
        <v>649075</v>
      </c>
      <c r="EF56" s="4">
        <v>2179785</v>
      </c>
      <c r="EG56" s="4">
        <v>874864</v>
      </c>
      <c r="EH56" s="4">
        <v>248533</v>
      </c>
      <c r="EI56" s="4">
        <v>1123397</v>
      </c>
      <c r="EJ56" s="4">
        <v>109043</v>
      </c>
      <c r="EK56" s="4">
        <v>52258</v>
      </c>
      <c r="EL56" s="4">
        <v>36704</v>
      </c>
      <c r="EM56" s="4">
        <v>198005</v>
      </c>
      <c r="EN56" s="4">
        <v>490662</v>
      </c>
      <c r="EO56" s="4">
        <v>1812064</v>
      </c>
      <c r="EP56" s="4">
        <v>367721</v>
      </c>
      <c r="EQ56" s="3">
        <v>0.16869999999999999</v>
      </c>
      <c r="ER56" s="4">
        <v>0</v>
      </c>
      <c r="ES56" s="4">
        <v>0</v>
      </c>
      <c r="ET56" s="4">
        <v>31000</v>
      </c>
      <c r="EU56" s="4">
        <v>0</v>
      </c>
      <c r="EV56" s="4">
        <v>31000</v>
      </c>
      <c r="EW56" s="4">
        <v>101094</v>
      </c>
      <c r="EX56" s="1">
        <v>24284</v>
      </c>
      <c r="EY56" s="1">
        <v>233760</v>
      </c>
      <c r="EZ56" s="1">
        <v>47924</v>
      </c>
      <c r="FA56" s="1">
        <v>9315</v>
      </c>
      <c r="FB56" s="1">
        <v>34866</v>
      </c>
      <c r="FC56" s="1">
        <v>45958</v>
      </c>
      <c r="FD56">
        <v>552</v>
      </c>
      <c r="FE56" s="1">
        <v>12102</v>
      </c>
      <c r="FF56" s="1">
        <v>93882</v>
      </c>
      <c r="FG56" s="1">
        <v>9867</v>
      </c>
      <c r="FH56" s="1">
        <v>46968</v>
      </c>
      <c r="FI56" s="1">
        <v>150717</v>
      </c>
      <c r="FJ56" s="1">
        <v>2082</v>
      </c>
      <c r="FK56">
        <v>336</v>
      </c>
      <c r="FM56" s="1">
        <v>150717</v>
      </c>
      <c r="FN56" s="1">
        <v>4990</v>
      </c>
      <c r="FO56" s="1">
        <v>10250</v>
      </c>
      <c r="FP56">
        <v>552</v>
      </c>
      <c r="FQ56">
        <v>4</v>
      </c>
      <c r="FR56">
        <v>88</v>
      </c>
      <c r="FS56">
        <v>92</v>
      </c>
      <c r="FT56" s="1">
        <v>44141</v>
      </c>
      <c r="FU56" s="1">
        <v>3505</v>
      </c>
      <c r="FV56">
        <v>0</v>
      </c>
      <c r="FW56">
        <v>0</v>
      </c>
      <c r="FX56" s="1">
        <v>8544</v>
      </c>
      <c r="FY56" s="1">
        <v>1573</v>
      </c>
      <c r="FZ56">
        <v>322</v>
      </c>
      <c r="GA56">
        <v>0</v>
      </c>
      <c r="GE56">
        <v>0</v>
      </c>
      <c r="GJ56" s="1">
        <v>1067</v>
      </c>
      <c r="GK56" s="1">
        <v>5539</v>
      </c>
      <c r="GL56">
        <v>0</v>
      </c>
      <c r="GM56">
        <v>50</v>
      </c>
      <c r="GN56" s="1">
        <v>53752</v>
      </c>
      <c r="GO56" s="1">
        <v>10617</v>
      </c>
      <c r="GP56">
        <v>322</v>
      </c>
      <c r="GQ56">
        <v>50</v>
      </c>
      <c r="GR56">
        <v>30</v>
      </c>
      <c r="GT56" s="1">
        <v>68820</v>
      </c>
      <c r="GU56" s="1">
        <v>8204</v>
      </c>
      <c r="GV56" s="1">
        <v>36243</v>
      </c>
      <c r="GW56" s="1">
        <v>19847</v>
      </c>
      <c r="GX56">
        <v>178</v>
      </c>
      <c r="GY56" s="1">
        <v>6087</v>
      </c>
      <c r="GZ56" s="1">
        <v>88667</v>
      </c>
      <c r="HA56" s="1">
        <v>8382</v>
      </c>
      <c r="HB56" s="1">
        <v>42330</v>
      </c>
      <c r="HC56" s="1">
        <v>139379</v>
      </c>
      <c r="HD56" s="1">
        <v>2616</v>
      </c>
      <c r="HE56" s="1">
        <v>146106</v>
      </c>
      <c r="HF56" s="1">
        <v>5592</v>
      </c>
      <c r="HG56" s="1">
        <v>35829</v>
      </c>
      <c r="HH56" s="1">
        <v>4111</v>
      </c>
      <c r="HI56">
        <v>968</v>
      </c>
      <c r="HJ56" s="1">
        <v>42389</v>
      </c>
      <c r="HK56" s="1">
        <v>188495</v>
      </c>
      <c r="HL56">
        <v>46</v>
      </c>
      <c r="HM56" s="1">
        <v>3203</v>
      </c>
      <c r="HN56" s="1">
        <v>3249</v>
      </c>
      <c r="HO56">
        <v>437</v>
      </c>
      <c r="HP56">
        <v>845</v>
      </c>
      <c r="HQ56" s="1">
        <v>1282</v>
      </c>
      <c r="HR56">
        <v>0</v>
      </c>
      <c r="HS56">
        <v>0</v>
      </c>
      <c r="HT56">
        <v>0</v>
      </c>
      <c r="HU56">
        <v>718</v>
      </c>
      <c r="HV56" s="1">
        <v>5249</v>
      </c>
      <c r="HW56" s="1">
        <v>2023</v>
      </c>
      <c r="HX56" s="1">
        <v>2812</v>
      </c>
      <c r="HY56" s="1">
        <v>4835</v>
      </c>
      <c r="HZ56" s="1">
        <v>10084</v>
      </c>
      <c r="IA56" s="1">
        <v>6874</v>
      </c>
      <c r="IB56" s="1">
        <v>42703</v>
      </c>
      <c r="IC56" s="1">
        <v>193744</v>
      </c>
      <c r="ID56" s="1">
        <v>193744</v>
      </c>
      <c r="IE56" s="1">
        <v>198579</v>
      </c>
      <c r="IF56" s="1">
        <v>53931</v>
      </c>
      <c r="IG56" s="1">
        <v>5018</v>
      </c>
      <c r="IJ56">
        <v>1</v>
      </c>
      <c r="IK56" s="3">
        <v>4.5199999999999997E-2</v>
      </c>
      <c r="IL56" s="3">
        <v>1.4E-3</v>
      </c>
      <c r="IM56" s="3">
        <v>0.27700000000000002</v>
      </c>
      <c r="IN56" s="3">
        <v>0</v>
      </c>
      <c r="IO56" s="3">
        <v>0.22989999999999999</v>
      </c>
      <c r="IP56" s="3">
        <v>4.0000000000000002E-4</v>
      </c>
      <c r="IQ56" s="3">
        <v>0.64480000000000004</v>
      </c>
      <c r="IR56" s="3">
        <v>6.6799999999999998E-2</v>
      </c>
      <c r="IS56" s="3">
        <v>0.27839999999999998</v>
      </c>
      <c r="IT56" s="1">
        <v>38978</v>
      </c>
      <c r="IU56" s="1">
        <v>10876</v>
      </c>
      <c r="IV56" s="1">
        <v>49854</v>
      </c>
      <c r="IW56" s="3">
        <v>0.5544</v>
      </c>
      <c r="IX56" s="1">
        <v>423663</v>
      </c>
      <c r="IZ56">
        <v>402</v>
      </c>
      <c r="JA56">
        <v>55</v>
      </c>
      <c r="JB56">
        <v>850</v>
      </c>
      <c r="JC56">
        <v>0</v>
      </c>
      <c r="JD56">
        <v>0</v>
      </c>
      <c r="JE56">
        <v>45</v>
      </c>
      <c r="JF56">
        <v>402</v>
      </c>
      <c r="JG56">
        <v>55</v>
      </c>
      <c r="JH56">
        <v>895</v>
      </c>
      <c r="JI56" s="1">
        <v>1352</v>
      </c>
      <c r="JJ56" s="1">
        <v>1307</v>
      </c>
      <c r="JK56">
        <v>45</v>
      </c>
      <c r="JL56" s="1">
        <v>2683</v>
      </c>
      <c r="JM56">
        <v>416</v>
      </c>
      <c r="JN56" s="1">
        <v>20496</v>
      </c>
      <c r="JO56">
        <v>0</v>
      </c>
      <c r="JP56">
        <v>0</v>
      </c>
      <c r="JQ56" s="1">
        <v>3916</v>
      </c>
      <c r="JR56" s="1">
        <v>2683</v>
      </c>
      <c r="JS56">
        <v>416</v>
      </c>
      <c r="JT56" s="1">
        <v>24412</v>
      </c>
      <c r="JU56" s="1">
        <v>27511</v>
      </c>
      <c r="JV56" s="1">
        <v>23595</v>
      </c>
      <c r="JW56" s="1">
        <v>3916</v>
      </c>
      <c r="JX56">
        <v>20.350000000000001</v>
      </c>
      <c r="JY56">
        <v>6.67</v>
      </c>
      <c r="JZ56">
        <v>27.28</v>
      </c>
      <c r="KA56">
        <v>0.1</v>
      </c>
      <c r="KB56">
        <v>0.89</v>
      </c>
      <c r="KC56">
        <v>0</v>
      </c>
      <c r="KD56">
        <v>0</v>
      </c>
      <c r="KE56">
        <v>53</v>
      </c>
      <c r="KF56">
        <v>165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 s="1">
        <v>123347</v>
      </c>
      <c r="KN56" s="1">
        <v>64917</v>
      </c>
      <c r="KO56" s="1">
        <v>20961</v>
      </c>
      <c r="KQ56" s="1">
        <v>2018</v>
      </c>
      <c r="KR56" s="1">
        <v>5910</v>
      </c>
      <c r="KS56" s="1">
        <v>17546</v>
      </c>
      <c r="KT56" s="1">
        <v>3650</v>
      </c>
      <c r="KU56">
        <v>40</v>
      </c>
      <c r="KV56">
        <v>165</v>
      </c>
      <c r="KW56" s="1">
        <v>94499</v>
      </c>
      <c r="KY56" s="1">
        <v>146788</v>
      </c>
      <c r="KZ56" s="1">
        <v>51830</v>
      </c>
      <c r="LC56" t="s">
        <v>1454</v>
      </c>
      <c r="LD56" t="s">
        <v>709</v>
      </c>
      <c r="LE56" t="s">
        <v>1444</v>
      </c>
      <c r="LF56" t="s">
        <v>1445</v>
      </c>
      <c r="LG56">
        <v>28501</v>
      </c>
      <c r="LH56">
        <v>4330</v>
      </c>
      <c r="LI56" t="s">
        <v>1444</v>
      </c>
      <c r="LJ56" t="s">
        <v>1445</v>
      </c>
      <c r="LK56">
        <v>28501</v>
      </c>
      <c r="LL56">
        <v>4330</v>
      </c>
      <c r="LM56" t="s">
        <v>858</v>
      </c>
      <c r="LN56">
        <v>2525277066</v>
      </c>
      <c r="LO56">
        <v>2525278220</v>
      </c>
      <c r="LP56" s="1">
        <v>60942</v>
      </c>
      <c r="LQ56">
        <v>30.08</v>
      </c>
      <c r="LS56" s="1">
        <v>17368</v>
      </c>
      <c r="LT56">
        <v>416</v>
      </c>
      <c r="LW56">
        <v>1</v>
      </c>
      <c r="LX56" t="s">
        <v>1455</v>
      </c>
      <c r="LY56">
        <v>0</v>
      </c>
      <c r="LZ56" t="s">
        <v>691</v>
      </c>
      <c r="MA56">
        <v>94.89</v>
      </c>
      <c r="MB56">
        <v>93.84</v>
      </c>
    </row>
    <row r="57" spans="1:340" x14ac:dyDescent="0.25">
      <c r="A57" t="s">
        <v>1456</v>
      </c>
      <c r="B57">
        <v>0</v>
      </c>
      <c r="C57">
        <v>1375</v>
      </c>
      <c r="D57">
        <v>2017</v>
      </c>
      <c r="E57">
        <v>0</v>
      </c>
      <c r="F57" t="s">
        <v>1456</v>
      </c>
      <c r="G57" t="s">
        <v>1457</v>
      </c>
      <c r="H57" t="s">
        <v>668</v>
      </c>
      <c r="I57" t="s">
        <v>669</v>
      </c>
      <c r="J57" t="s">
        <v>670</v>
      </c>
      <c r="K57" t="s">
        <v>671</v>
      </c>
      <c r="L57" t="s">
        <v>672</v>
      </c>
      <c r="M57" t="s">
        <v>673</v>
      </c>
      <c r="N57" s="1">
        <v>220231</v>
      </c>
      <c r="O57" t="s">
        <v>806</v>
      </c>
      <c r="P57" s="1">
        <v>2822</v>
      </c>
      <c r="Q57">
        <v>202</v>
      </c>
      <c r="R57">
        <v>416</v>
      </c>
      <c r="S57">
        <v>37</v>
      </c>
      <c r="T57" s="1">
        <v>14639</v>
      </c>
      <c r="U57">
        <v>255</v>
      </c>
      <c r="V57" s="1">
        <v>112288</v>
      </c>
      <c r="W57" s="1">
        <v>10964</v>
      </c>
      <c r="Z57" t="s">
        <v>1458</v>
      </c>
      <c r="AA57" t="s">
        <v>1459</v>
      </c>
      <c r="AB57">
        <v>28401</v>
      </c>
      <c r="AC57">
        <v>3942</v>
      </c>
      <c r="AD57" t="s">
        <v>1458</v>
      </c>
      <c r="AE57" t="s">
        <v>1459</v>
      </c>
      <c r="AF57">
        <v>28401</v>
      </c>
      <c r="AG57">
        <v>3</v>
      </c>
      <c r="AH57" t="s">
        <v>1460</v>
      </c>
      <c r="AJ57" t="s">
        <v>35</v>
      </c>
      <c r="AK57" t="s">
        <v>1461</v>
      </c>
      <c r="AL57" t="s">
        <v>1462</v>
      </c>
      <c r="AM57" t="s">
        <v>1463</v>
      </c>
      <c r="AN57" t="s">
        <v>1464</v>
      </c>
      <c r="AO57" t="s">
        <v>1465</v>
      </c>
      <c r="AP57" t="s">
        <v>1466</v>
      </c>
      <c r="AQ57" t="s">
        <v>1467</v>
      </c>
      <c r="AR57" t="s">
        <v>1468</v>
      </c>
      <c r="AS57" t="s">
        <v>1464</v>
      </c>
      <c r="AT57" t="s">
        <v>1469</v>
      </c>
      <c r="AU57" t="s">
        <v>1470</v>
      </c>
      <c r="BC57">
        <v>1</v>
      </c>
      <c r="BD57">
        <v>3</v>
      </c>
      <c r="BE57">
        <v>0</v>
      </c>
      <c r="BF57">
        <v>1</v>
      </c>
      <c r="BG57">
        <v>5</v>
      </c>
      <c r="BI57" s="1">
        <v>11856</v>
      </c>
      <c r="BJ57">
        <v>15</v>
      </c>
      <c r="BK57">
        <v>0</v>
      </c>
      <c r="BL57">
        <v>15</v>
      </c>
      <c r="BM57">
        <v>31</v>
      </c>
      <c r="BN57">
        <v>46</v>
      </c>
      <c r="BO57" s="3">
        <v>0.3261</v>
      </c>
      <c r="BP57" s="1">
        <v>12466</v>
      </c>
      <c r="BQ57" s="4">
        <v>117908</v>
      </c>
      <c r="BT57" s="1">
        <v>84571</v>
      </c>
      <c r="BU57" s="4">
        <v>58962</v>
      </c>
      <c r="BV57" s="4">
        <v>84372</v>
      </c>
      <c r="BW57" s="4">
        <v>71242</v>
      </c>
      <c r="BY57" s="4">
        <v>60023</v>
      </c>
      <c r="BZ57" s="4">
        <v>60023</v>
      </c>
      <c r="CA57" s="4">
        <v>60023</v>
      </c>
      <c r="CC57" s="4">
        <v>59749</v>
      </c>
      <c r="CD57" s="4">
        <v>59749</v>
      </c>
      <c r="CE57" s="1">
        <v>59749</v>
      </c>
      <c r="CG57" s="4">
        <v>58294</v>
      </c>
      <c r="CH57" s="4">
        <v>58294</v>
      </c>
      <c r="CI57" s="4">
        <v>58294</v>
      </c>
      <c r="CK57" s="4">
        <v>51312</v>
      </c>
      <c r="CL57" s="4">
        <v>74511</v>
      </c>
      <c r="CM57" s="1">
        <v>62912</v>
      </c>
      <c r="CR57" s="4">
        <v>46334</v>
      </c>
      <c r="CS57" s="4">
        <v>57799</v>
      </c>
      <c r="CT57" s="4">
        <v>53819</v>
      </c>
      <c r="CV57" s="4">
        <v>49721</v>
      </c>
      <c r="CW57" s="4">
        <v>72358</v>
      </c>
      <c r="CX57" s="4">
        <v>58355</v>
      </c>
      <c r="DH57" s="4">
        <v>34474</v>
      </c>
      <c r="DI57" s="4">
        <v>50248</v>
      </c>
      <c r="DJ57" s="4">
        <v>42386</v>
      </c>
      <c r="DO57" s="4">
        <v>30980</v>
      </c>
      <c r="DP57" s="4">
        <v>45893</v>
      </c>
      <c r="DQ57" s="4">
        <v>37400</v>
      </c>
      <c r="DV57" s="4">
        <v>0</v>
      </c>
      <c r="DW57" s="4">
        <v>3621556</v>
      </c>
      <c r="DX57" s="4">
        <v>3621556</v>
      </c>
      <c r="DY57" s="4">
        <v>192213</v>
      </c>
      <c r="DZ57" s="4">
        <v>147500</v>
      </c>
      <c r="EA57" s="4">
        <v>339713</v>
      </c>
      <c r="EB57" s="4">
        <v>18122</v>
      </c>
      <c r="EC57" s="4">
        <v>0</v>
      </c>
      <c r="ED57" s="4">
        <v>18122</v>
      </c>
      <c r="EE57" s="4">
        <v>184877</v>
      </c>
      <c r="EF57" s="4">
        <v>4164268</v>
      </c>
      <c r="EG57" s="4">
        <v>2371070</v>
      </c>
      <c r="EH57" s="4">
        <v>718693</v>
      </c>
      <c r="EI57" s="4">
        <v>3089763</v>
      </c>
      <c r="EJ57" s="4">
        <v>360638</v>
      </c>
      <c r="EK57" s="4">
        <v>131554</v>
      </c>
      <c r="EL57" s="4">
        <v>165706</v>
      </c>
      <c r="EM57" s="4">
        <v>657898</v>
      </c>
      <c r="EN57" s="4">
        <v>416607</v>
      </c>
      <c r="EO57" s="4">
        <v>4164268</v>
      </c>
      <c r="EP57" s="4">
        <v>0</v>
      </c>
      <c r="EQ57" s="3">
        <v>0</v>
      </c>
      <c r="ER57" s="4">
        <v>0</v>
      </c>
      <c r="ES57" s="4">
        <v>0</v>
      </c>
      <c r="ET57" s="4">
        <v>0</v>
      </c>
      <c r="EU57" s="4">
        <v>0</v>
      </c>
      <c r="EV57" s="4">
        <v>0</v>
      </c>
      <c r="EW57" s="4">
        <v>0</v>
      </c>
      <c r="EX57" s="1">
        <v>61284</v>
      </c>
      <c r="EY57" s="1">
        <v>520761</v>
      </c>
      <c r="EZ57" s="1">
        <v>94777</v>
      </c>
      <c r="FA57" s="1">
        <v>12993</v>
      </c>
      <c r="FB57" s="1">
        <v>83603</v>
      </c>
      <c r="FC57" s="1">
        <v>142809</v>
      </c>
      <c r="FD57">
        <v>489</v>
      </c>
      <c r="FE57" s="1">
        <v>30090</v>
      </c>
      <c r="FF57" s="1">
        <v>237586</v>
      </c>
      <c r="FG57" s="1">
        <v>13482</v>
      </c>
      <c r="FH57" s="1">
        <v>113693</v>
      </c>
      <c r="FI57" s="1">
        <v>364761</v>
      </c>
      <c r="FJ57">
        <v>92</v>
      </c>
      <c r="FK57">
        <v>447</v>
      </c>
      <c r="FM57" s="1">
        <v>364761</v>
      </c>
      <c r="FN57" s="1">
        <v>17063</v>
      </c>
      <c r="FO57" s="1">
        <v>19645</v>
      </c>
      <c r="FP57">
        <v>42</v>
      </c>
      <c r="FQ57">
        <v>45</v>
      </c>
      <c r="FR57">
        <v>88</v>
      </c>
      <c r="FS57">
        <v>133</v>
      </c>
      <c r="FT57" s="1">
        <v>44141</v>
      </c>
      <c r="FU57" s="1">
        <v>3505</v>
      </c>
      <c r="FV57">
        <v>0</v>
      </c>
      <c r="FW57">
        <v>0</v>
      </c>
      <c r="FX57" s="1">
        <v>8544</v>
      </c>
      <c r="FY57" s="1">
        <v>1573</v>
      </c>
      <c r="FZ57">
        <v>322</v>
      </c>
      <c r="GA57">
        <v>0</v>
      </c>
      <c r="GE57">
        <v>0</v>
      </c>
      <c r="GF57" s="1">
        <v>36593</v>
      </c>
      <c r="GG57" s="1">
        <v>13194</v>
      </c>
      <c r="GH57">
        <v>264</v>
      </c>
      <c r="GI57">
        <v>12</v>
      </c>
      <c r="GJ57" s="1">
        <v>2755</v>
      </c>
      <c r="GK57">
        <v>113</v>
      </c>
      <c r="GL57" s="1">
        <v>7500</v>
      </c>
      <c r="GM57">
        <v>62</v>
      </c>
      <c r="GN57" s="1">
        <v>92033</v>
      </c>
      <c r="GO57" s="1">
        <v>18385</v>
      </c>
      <c r="GP57" s="1">
        <v>8086</v>
      </c>
      <c r="GQ57">
        <v>74</v>
      </c>
      <c r="GR57">
        <v>45</v>
      </c>
      <c r="GT57" s="1">
        <v>311746</v>
      </c>
      <c r="GU57" s="1">
        <v>29108</v>
      </c>
      <c r="GV57" s="1">
        <v>325399</v>
      </c>
      <c r="GW57" s="1">
        <v>133458</v>
      </c>
      <c r="GX57" s="1">
        <v>1048</v>
      </c>
      <c r="GY57" s="1">
        <v>57664</v>
      </c>
      <c r="GZ57" s="1">
        <v>445204</v>
      </c>
      <c r="HA57" s="1">
        <v>30156</v>
      </c>
      <c r="HB57" s="1">
        <v>383063</v>
      </c>
      <c r="HC57" s="1">
        <v>858423</v>
      </c>
      <c r="HD57" s="1">
        <v>8077</v>
      </c>
      <c r="HE57" s="1">
        <v>867158</v>
      </c>
      <c r="HF57" s="1">
        <v>71689</v>
      </c>
      <c r="HG57" s="1">
        <v>206085</v>
      </c>
      <c r="HH57">
        <v>658</v>
      </c>
      <c r="HI57">
        <v>175</v>
      </c>
      <c r="HJ57" s="1">
        <v>277949</v>
      </c>
      <c r="HK57" s="1">
        <v>1145107</v>
      </c>
      <c r="HL57" s="1">
        <v>1171</v>
      </c>
      <c r="HM57" s="1">
        <v>94451</v>
      </c>
      <c r="HN57" s="1">
        <v>95622</v>
      </c>
      <c r="HO57" s="1">
        <v>1792</v>
      </c>
      <c r="HP57" s="1">
        <v>43980</v>
      </c>
      <c r="HQ57" s="1">
        <v>45772</v>
      </c>
      <c r="HR57">
        <v>0</v>
      </c>
      <c r="HS57">
        <v>589</v>
      </c>
      <c r="HT57">
        <v>589</v>
      </c>
      <c r="HU57" s="1">
        <v>2671</v>
      </c>
      <c r="HV57" s="1">
        <v>144654</v>
      </c>
      <c r="HW57" s="1">
        <v>119111</v>
      </c>
      <c r="HX57" s="1">
        <v>149396</v>
      </c>
      <c r="HY57" s="1">
        <v>268507</v>
      </c>
      <c r="HZ57" s="1">
        <v>413161</v>
      </c>
      <c r="IA57" s="1">
        <v>117461</v>
      </c>
      <c r="IB57" s="1">
        <v>324135</v>
      </c>
      <c r="IC57" s="1">
        <v>1289761</v>
      </c>
      <c r="ID57" s="1">
        <v>1289761</v>
      </c>
      <c r="IE57" s="1">
        <v>1558268</v>
      </c>
      <c r="IF57" s="1">
        <v>413219</v>
      </c>
      <c r="IG57">
        <v>257</v>
      </c>
      <c r="IJ57">
        <v>1</v>
      </c>
      <c r="IK57" s="3">
        <v>5.33E-2</v>
      </c>
      <c r="IL57" s="3">
        <v>8.9999999999999998E-4</v>
      </c>
      <c r="IM57" s="3">
        <v>0.22770000000000001</v>
      </c>
      <c r="IN57" s="3">
        <v>0</v>
      </c>
      <c r="IO57" s="3">
        <v>0.1767</v>
      </c>
      <c r="IP57" s="3">
        <v>2.9999999999999997E-4</v>
      </c>
      <c r="IQ57" s="3">
        <v>0.70040000000000002</v>
      </c>
      <c r="IR57" s="3">
        <v>6.8099999999999994E-2</v>
      </c>
      <c r="IS57" s="3">
        <v>0.32040000000000002</v>
      </c>
      <c r="IT57" s="1">
        <v>84212</v>
      </c>
      <c r="IU57" s="1">
        <v>16274</v>
      </c>
      <c r="IV57" s="1">
        <v>100486</v>
      </c>
      <c r="IW57" s="3">
        <v>0.45629999999999998</v>
      </c>
      <c r="IX57" s="1">
        <v>749930</v>
      </c>
      <c r="IZ57">
        <v>466</v>
      </c>
      <c r="JA57">
        <v>98</v>
      </c>
      <c r="JB57" s="1">
        <v>1668</v>
      </c>
      <c r="JC57">
        <v>396</v>
      </c>
      <c r="JD57">
        <v>14</v>
      </c>
      <c r="JE57">
        <v>532</v>
      </c>
      <c r="JF57">
        <v>862</v>
      </c>
      <c r="JG57">
        <v>112</v>
      </c>
      <c r="JH57" s="1">
        <v>2200</v>
      </c>
      <c r="JI57" s="1">
        <v>3174</v>
      </c>
      <c r="JJ57" s="1">
        <v>2232</v>
      </c>
      <c r="JK57">
        <v>942</v>
      </c>
      <c r="JL57" s="1">
        <v>4868</v>
      </c>
      <c r="JM57">
        <v>635</v>
      </c>
      <c r="JN57" s="1">
        <v>44118</v>
      </c>
      <c r="JO57" s="1">
        <v>3072</v>
      </c>
      <c r="JP57" s="1">
        <v>1795</v>
      </c>
      <c r="JQ57" s="1">
        <v>15500</v>
      </c>
      <c r="JR57" s="1">
        <v>7940</v>
      </c>
      <c r="JS57" s="1">
        <v>2430</v>
      </c>
      <c r="JT57" s="1">
        <v>59618</v>
      </c>
      <c r="JU57" s="1">
        <v>69988</v>
      </c>
      <c r="JV57" s="1">
        <v>49621</v>
      </c>
      <c r="JW57" s="1">
        <v>20367</v>
      </c>
      <c r="JX57">
        <v>22.05</v>
      </c>
      <c r="JY57">
        <v>9.2100000000000009</v>
      </c>
      <c r="JZ57">
        <v>27.1</v>
      </c>
      <c r="KA57">
        <v>0.11</v>
      </c>
      <c r="KB57">
        <v>0.85</v>
      </c>
      <c r="KC57">
        <v>244</v>
      </c>
      <c r="KD57" s="1">
        <v>1850</v>
      </c>
      <c r="KE57">
        <v>290</v>
      </c>
      <c r="KF57" s="1">
        <v>2316</v>
      </c>
      <c r="KM57" s="1">
        <v>297690</v>
      </c>
      <c r="KN57" s="1">
        <v>77978</v>
      </c>
      <c r="KO57" s="1">
        <v>10207</v>
      </c>
      <c r="KQ57" s="1">
        <v>1702</v>
      </c>
      <c r="KR57" s="1">
        <v>31695</v>
      </c>
      <c r="KS57" s="1">
        <v>1377</v>
      </c>
      <c r="KT57">
        <v>604</v>
      </c>
      <c r="KU57">
        <v>80</v>
      </c>
      <c r="KV57">
        <v>112</v>
      </c>
      <c r="KW57" s="1">
        <v>126440</v>
      </c>
      <c r="KY57" s="1">
        <v>342287</v>
      </c>
      <c r="LC57" t="s">
        <v>1460</v>
      </c>
      <c r="LD57" t="s">
        <v>709</v>
      </c>
      <c r="LE57" t="s">
        <v>1458</v>
      </c>
      <c r="LF57" t="s">
        <v>1459</v>
      </c>
      <c r="LG57">
        <v>28401</v>
      </c>
      <c r="LH57">
        <v>3942</v>
      </c>
      <c r="LI57" t="s">
        <v>1458</v>
      </c>
      <c r="LJ57" t="s">
        <v>1459</v>
      </c>
      <c r="LK57">
        <v>28401</v>
      </c>
      <c r="LL57">
        <v>3942</v>
      </c>
      <c r="LM57" t="s">
        <v>1461</v>
      </c>
      <c r="LN57">
        <v>9107986300</v>
      </c>
      <c r="LO57">
        <v>9107986312</v>
      </c>
      <c r="LP57" s="1">
        <v>122687</v>
      </c>
      <c r="LQ57">
        <v>50</v>
      </c>
      <c r="LS57" s="1">
        <v>11856</v>
      </c>
      <c r="LT57">
        <v>208</v>
      </c>
      <c r="LW57">
        <v>1</v>
      </c>
      <c r="LX57" t="s">
        <v>1471</v>
      </c>
      <c r="LY57">
        <v>0</v>
      </c>
      <c r="LZ57" t="s">
        <v>691</v>
      </c>
      <c r="MA57">
        <v>5.95</v>
      </c>
      <c r="MB57">
        <v>44.04</v>
      </c>
    </row>
    <row r="58" spans="1:340" x14ac:dyDescent="0.25">
      <c r="A58" t="s">
        <v>1472</v>
      </c>
      <c r="B58">
        <v>0</v>
      </c>
      <c r="C58">
        <v>1375</v>
      </c>
      <c r="D58">
        <v>2017</v>
      </c>
      <c r="E58">
        <v>0</v>
      </c>
      <c r="F58" t="s">
        <v>1472</v>
      </c>
      <c r="G58" t="s">
        <v>1473</v>
      </c>
      <c r="H58" t="s">
        <v>668</v>
      </c>
      <c r="I58" t="s">
        <v>694</v>
      </c>
      <c r="J58" t="s">
        <v>725</v>
      </c>
      <c r="K58" t="s">
        <v>671</v>
      </c>
      <c r="L58" t="s">
        <v>695</v>
      </c>
      <c r="M58" t="s">
        <v>673</v>
      </c>
      <c r="N58" s="1">
        <v>168853</v>
      </c>
      <c r="O58" t="s">
        <v>674</v>
      </c>
      <c r="P58" s="1">
        <v>2987</v>
      </c>
      <c r="Q58">
        <v>355</v>
      </c>
      <c r="R58">
        <v>346</v>
      </c>
      <c r="S58">
        <v>99</v>
      </c>
      <c r="T58" s="1">
        <v>13282</v>
      </c>
      <c r="U58" s="1">
        <v>1413</v>
      </c>
      <c r="V58" s="1">
        <v>50523</v>
      </c>
      <c r="W58" s="1">
        <v>4365</v>
      </c>
      <c r="X58" s="1">
        <v>420864</v>
      </c>
      <c r="Y58" s="1">
        <v>193474</v>
      </c>
      <c r="Z58" t="s">
        <v>1474</v>
      </c>
      <c r="AA58" t="s">
        <v>1475</v>
      </c>
      <c r="AB58">
        <v>28621</v>
      </c>
      <c r="AC58">
        <v>3398</v>
      </c>
      <c r="AD58" t="s">
        <v>1474</v>
      </c>
      <c r="AE58" t="s">
        <v>1475</v>
      </c>
      <c r="AF58">
        <v>28621</v>
      </c>
      <c r="AG58">
        <v>2</v>
      </c>
      <c r="AH58" t="s">
        <v>1476</v>
      </c>
      <c r="AJ58" t="s">
        <v>700</v>
      </c>
      <c r="AK58" t="s">
        <v>1477</v>
      </c>
      <c r="AL58" t="s">
        <v>1478</v>
      </c>
      <c r="AM58" t="s">
        <v>1479</v>
      </c>
      <c r="AN58" t="s">
        <v>1480</v>
      </c>
      <c r="AO58" t="s">
        <v>1481</v>
      </c>
      <c r="AP58" t="s">
        <v>1478</v>
      </c>
      <c r="AQ58" t="s">
        <v>706</v>
      </c>
      <c r="AR58" t="s">
        <v>1479</v>
      </c>
      <c r="AS58" t="s">
        <v>1480</v>
      </c>
      <c r="AT58" t="s">
        <v>1481</v>
      </c>
      <c r="AU58" t="s">
        <v>1482</v>
      </c>
      <c r="BC58">
        <v>0</v>
      </c>
      <c r="BD58">
        <v>13</v>
      </c>
      <c r="BE58">
        <v>1</v>
      </c>
      <c r="BF58">
        <v>0</v>
      </c>
      <c r="BG58">
        <v>14</v>
      </c>
      <c r="BI58" s="1">
        <v>33362</v>
      </c>
      <c r="BJ58">
        <v>3</v>
      </c>
      <c r="BK58">
        <v>0</v>
      </c>
      <c r="BL58">
        <v>3</v>
      </c>
      <c r="BM58">
        <v>46.19</v>
      </c>
      <c r="BN58">
        <v>49.19</v>
      </c>
      <c r="BO58" s="3">
        <v>6.0999999999999999E-2</v>
      </c>
      <c r="BP58">
        <v>375</v>
      </c>
      <c r="BQ58" s="4">
        <v>59050</v>
      </c>
      <c r="DK58" s="4">
        <v>25327</v>
      </c>
      <c r="DL58" s="4">
        <v>41885</v>
      </c>
      <c r="DM58" s="4">
        <v>33606</v>
      </c>
      <c r="DO58" s="4">
        <v>21878</v>
      </c>
      <c r="DP58" s="4">
        <v>36182</v>
      </c>
      <c r="DQ58" s="4">
        <v>29030</v>
      </c>
      <c r="DV58" s="4">
        <v>305718</v>
      </c>
      <c r="DW58" s="4">
        <v>1557122</v>
      </c>
      <c r="DX58" s="4">
        <v>1862840</v>
      </c>
      <c r="DY58" s="4">
        <v>457202</v>
      </c>
      <c r="DZ58" s="4">
        <v>0</v>
      </c>
      <c r="EA58" s="4">
        <v>457202</v>
      </c>
      <c r="EB58" s="4">
        <v>0</v>
      </c>
      <c r="EC58" s="4">
        <v>0</v>
      </c>
      <c r="ED58" s="4">
        <v>0</v>
      </c>
      <c r="EE58" s="4">
        <v>72723</v>
      </c>
      <c r="EF58" s="4">
        <v>2392765</v>
      </c>
      <c r="EG58" s="4">
        <v>1284876</v>
      </c>
      <c r="EH58" s="4">
        <v>328192</v>
      </c>
      <c r="EI58" s="4">
        <v>1613068</v>
      </c>
      <c r="EJ58" s="4">
        <v>80581</v>
      </c>
      <c r="EK58" s="4">
        <v>15816</v>
      </c>
      <c r="EL58" s="4">
        <v>2194</v>
      </c>
      <c r="EM58" s="4">
        <v>98591</v>
      </c>
      <c r="EN58" s="4">
        <v>443119</v>
      </c>
      <c r="EO58" s="4">
        <v>2154778</v>
      </c>
      <c r="EP58" s="4">
        <v>237987</v>
      </c>
      <c r="EQ58" s="3">
        <v>9.9500000000000005E-2</v>
      </c>
      <c r="ER58" s="4">
        <v>310000</v>
      </c>
      <c r="ES58" s="4">
        <v>0</v>
      </c>
      <c r="ET58" s="4">
        <v>0</v>
      </c>
      <c r="EU58" s="4">
        <v>535891</v>
      </c>
      <c r="EV58" s="4">
        <v>845891</v>
      </c>
      <c r="EW58" s="4">
        <v>845891</v>
      </c>
      <c r="EX58" s="1">
        <v>23468</v>
      </c>
      <c r="EY58" s="1">
        <v>432928</v>
      </c>
      <c r="EZ58" s="1">
        <v>116540</v>
      </c>
      <c r="FA58" s="1">
        <v>13538</v>
      </c>
      <c r="FB58" s="1">
        <v>85633</v>
      </c>
      <c r="FC58" s="1">
        <v>84554</v>
      </c>
      <c r="FD58">
        <v>63</v>
      </c>
      <c r="FE58" s="1">
        <v>46550</v>
      </c>
      <c r="FF58" s="1">
        <v>201094</v>
      </c>
      <c r="FG58" s="1">
        <v>13601</v>
      </c>
      <c r="FH58" s="1">
        <v>132183</v>
      </c>
      <c r="FI58" s="1">
        <v>346878</v>
      </c>
      <c r="FJ58">
        <v>255</v>
      </c>
      <c r="FK58">
        <v>166</v>
      </c>
      <c r="FM58" s="1">
        <v>346878</v>
      </c>
      <c r="FN58" s="1">
        <v>5800</v>
      </c>
      <c r="FO58" s="1">
        <v>12891</v>
      </c>
      <c r="FP58">
        <v>15</v>
      </c>
      <c r="FQ58">
        <v>2</v>
      </c>
      <c r="FR58">
        <v>88</v>
      </c>
      <c r="FS58">
        <v>90</v>
      </c>
      <c r="FT58" s="1">
        <v>44141</v>
      </c>
      <c r="FU58" s="1">
        <v>3505</v>
      </c>
      <c r="FV58">
        <v>0</v>
      </c>
      <c r="FW58">
        <v>0</v>
      </c>
      <c r="FX58" s="1">
        <v>8544</v>
      </c>
      <c r="FY58" s="1">
        <v>1573</v>
      </c>
      <c r="FZ58">
        <v>322</v>
      </c>
      <c r="GA58">
        <v>0</v>
      </c>
      <c r="GE58">
        <v>0</v>
      </c>
      <c r="GJ58" s="1">
        <v>7476</v>
      </c>
      <c r="GK58" s="1">
        <v>1272</v>
      </c>
      <c r="GL58">
        <v>0</v>
      </c>
      <c r="GM58">
        <v>0</v>
      </c>
      <c r="GN58" s="1">
        <v>60161</v>
      </c>
      <c r="GO58" s="1">
        <v>6350</v>
      </c>
      <c r="GP58">
        <v>322</v>
      </c>
      <c r="GQ58">
        <v>0</v>
      </c>
      <c r="GR58">
        <v>96</v>
      </c>
      <c r="GT58" s="1">
        <v>138504</v>
      </c>
      <c r="GU58" s="1">
        <v>14732</v>
      </c>
      <c r="GV58" s="1">
        <v>124084</v>
      </c>
      <c r="GW58" s="1">
        <v>28487</v>
      </c>
      <c r="GX58">
        <v>159</v>
      </c>
      <c r="GY58" s="1">
        <v>27196</v>
      </c>
      <c r="GZ58" s="1">
        <v>166991</v>
      </c>
      <c r="HA58" s="1">
        <v>14891</v>
      </c>
      <c r="HB58" s="1">
        <v>151280</v>
      </c>
      <c r="HC58" s="1">
        <v>333162</v>
      </c>
      <c r="HD58">
        <v>15</v>
      </c>
      <c r="HE58" s="1">
        <v>333649</v>
      </c>
      <c r="HF58" s="1">
        <v>9716</v>
      </c>
      <c r="HG58" s="1">
        <v>38795</v>
      </c>
      <c r="HH58">
        <v>472</v>
      </c>
      <c r="HI58">
        <v>20</v>
      </c>
      <c r="HJ58" s="1">
        <v>48531</v>
      </c>
      <c r="HK58" s="1">
        <v>382180</v>
      </c>
      <c r="HL58">
        <v>44</v>
      </c>
      <c r="HM58" s="1">
        <v>7476</v>
      </c>
      <c r="HN58" s="1">
        <v>7520</v>
      </c>
      <c r="HO58">
        <v>218</v>
      </c>
      <c r="HP58" s="1">
        <v>1272</v>
      </c>
      <c r="HQ58" s="1">
        <v>1490</v>
      </c>
      <c r="HR58">
        <v>0</v>
      </c>
      <c r="HS58">
        <v>0</v>
      </c>
      <c r="HT58">
        <v>0</v>
      </c>
      <c r="HU58">
        <v>0</v>
      </c>
      <c r="HV58" s="1">
        <v>9010</v>
      </c>
      <c r="HW58" s="1">
        <v>11768</v>
      </c>
      <c r="HX58">
        <v>0</v>
      </c>
      <c r="HY58" s="1">
        <v>11768</v>
      </c>
      <c r="HZ58" s="1">
        <v>20778</v>
      </c>
      <c r="IA58" s="1">
        <v>11206</v>
      </c>
      <c r="IB58" s="1">
        <v>50001</v>
      </c>
      <c r="IC58" s="1">
        <v>391190</v>
      </c>
      <c r="ID58" s="1">
        <v>391190</v>
      </c>
      <c r="IE58" s="1">
        <v>402958</v>
      </c>
      <c r="IF58" s="1">
        <v>166171</v>
      </c>
      <c r="IG58">
        <v>211</v>
      </c>
      <c r="IJ58">
        <v>1</v>
      </c>
      <c r="IK58" s="3">
        <v>3.0499999999999999E-2</v>
      </c>
      <c r="IL58" s="3">
        <v>4.0000000000000002E-4</v>
      </c>
      <c r="IM58" s="3">
        <v>0.15440000000000001</v>
      </c>
      <c r="IN58" s="3">
        <v>0</v>
      </c>
      <c r="IO58" s="3">
        <v>0.13900000000000001</v>
      </c>
      <c r="IP58" s="3">
        <v>2.0000000000000001E-4</v>
      </c>
      <c r="IQ58" s="3">
        <v>0.80120000000000002</v>
      </c>
      <c r="IR58" s="3">
        <v>2.81E-2</v>
      </c>
      <c r="IS58" s="3">
        <v>0.42480000000000001</v>
      </c>
      <c r="IT58" s="1">
        <v>43383</v>
      </c>
      <c r="IU58" s="1">
        <v>18347</v>
      </c>
      <c r="IV58" s="1">
        <v>61730</v>
      </c>
      <c r="IW58" s="3">
        <v>0.36559999999999998</v>
      </c>
      <c r="IX58" s="1">
        <v>337669</v>
      </c>
      <c r="IZ58" s="1">
        <v>1367</v>
      </c>
      <c r="JA58">
        <v>182</v>
      </c>
      <c r="JB58" s="1">
        <v>2573</v>
      </c>
      <c r="JC58">
        <v>0</v>
      </c>
      <c r="JD58">
        <v>0</v>
      </c>
      <c r="JE58">
        <v>45</v>
      </c>
      <c r="JF58" s="1">
        <v>1367</v>
      </c>
      <c r="JG58">
        <v>182</v>
      </c>
      <c r="JH58" s="1">
        <v>2618</v>
      </c>
      <c r="JI58" s="1">
        <v>4167</v>
      </c>
      <c r="JJ58" s="1">
        <v>4122</v>
      </c>
      <c r="JK58">
        <v>45</v>
      </c>
      <c r="JL58" s="1">
        <v>18570</v>
      </c>
      <c r="JM58">
        <v>903</v>
      </c>
      <c r="JN58" s="1">
        <v>54751</v>
      </c>
      <c r="JO58">
        <v>0</v>
      </c>
      <c r="JP58">
        <v>0</v>
      </c>
      <c r="JQ58">
        <v>0</v>
      </c>
      <c r="JR58" s="1">
        <v>18570</v>
      </c>
      <c r="JS58">
        <v>903</v>
      </c>
      <c r="JT58" s="1">
        <v>54751</v>
      </c>
      <c r="JU58" s="1">
        <v>74224</v>
      </c>
      <c r="JV58" s="1">
        <v>74224</v>
      </c>
      <c r="JW58">
        <v>0</v>
      </c>
      <c r="JX58">
        <v>17.809999999999999</v>
      </c>
      <c r="JY58">
        <v>13.58</v>
      </c>
      <c r="JZ58">
        <v>20.91</v>
      </c>
      <c r="KA58">
        <v>0.25</v>
      </c>
      <c r="KB58">
        <v>0.74</v>
      </c>
      <c r="KC58">
        <v>387</v>
      </c>
      <c r="KE58">
        <v>679</v>
      </c>
      <c r="KM58" s="1">
        <v>280000</v>
      </c>
      <c r="KN58" s="1">
        <v>74209</v>
      </c>
      <c r="KO58" s="1">
        <v>28452</v>
      </c>
      <c r="KQ58" s="1">
        <v>2612</v>
      </c>
      <c r="KR58" s="1">
        <v>31344</v>
      </c>
      <c r="KS58" s="1">
        <v>15656</v>
      </c>
      <c r="KT58" s="1">
        <v>20477</v>
      </c>
      <c r="KU58">
        <v>52</v>
      </c>
      <c r="KV58">
        <v>160</v>
      </c>
      <c r="KW58" s="1">
        <v>127566</v>
      </c>
      <c r="KZ58" s="1">
        <v>117070</v>
      </c>
      <c r="LC58" t="s">
        <v>1483</v>
      </c>
      <c r="LD58" t="s">
        <v>709</v>
      </c>
      <c r="LE58" t="s">
        <v>1484</v>
      </c>
      <c r="LF58" t="s">
        <v>1485</v>
      </c>
      <c r="LG58">
        <v>28675</v>
      </c>
      <c r="LH58">
        <v>8894</v>
      </c>
      <c r="LI58" t="s">
        <v>1486</v>
      </c>
      <c r="LJ58" t="s">
        <v>1485</v>
      </c>
      <c r="LK58">
        <v>28675</v>
      </c>
      <c r="LL58">
        <v>8894</v>
      </c>
      <c r="LM58" t="s">
        <v>1487</v>
      </c>
      <c r="LN58">
        <v>3363725573</v>
      </c>
      <c r="LO58">
        <v>3363724912</v>
      </c>
      <c r="LP58" s="1">
        <v>98108</v>
      </c>
      <c r="LQ58">
        <v>38.86</v>
      </c>
      <c r="LS58" s="1">
        <v>33362</v>
      </c>
      <c r="LT58">
        <v>728</v>
      </c>
      <c r="LW58">
        <v>2</v>
      </c>
      <c r="LX58" t="s">
        <v>1488</v>
      </c>
      <c r="LY58">
        <v>0</v>
      </c>
      <c r="LZ58" t="s">
        <v>738</v>
      </c>
      <c r="MA58">
        <v>15.85</v>
      </c>
      <c r="MB58">
        <v>22.65</v>
      </c>
    </row>
    <row r="59" spans="1:340" x14ac:dyDescent="0.25">
      <c r="A59" t="s">
        <v>1489</v>
      </c>
      <c r="B59">
        <v>0</v>
      </c>
      <c r="C59">
        <v>1375</v>
      </c>
      <c r="D59">
        <v>2017</v>
      </c>
      <c r="E59">
        <v>0</v>
      </c>
      <c r="F59" t="s">
        <v>1489</v>
      </c>
      <c r="G59" t="s">
        <v>1490</v>
      </c>
      <c r="H59" t="s">
        <v>668</v>
      </c>
      <c r="I59" t="s">
        <v>669</v>
      </c>
      <c r="J59" t="s">
        <v>670</v>
      </c>
      <c r="K59" t="s">
        <v>671</v>
      </c>
      <c r="L59" t="s">
        <v>672</v>
      </c>
      <c r="M59" t="s">
        <v>673</v>
      </c>
      <c r="N59" s="1">
        <v>194636</v>
      </c>
      <c r="O59" t="s">
        <v>806</v>
      </c>
      <c r="P59" s="1">
        <v>1606</v>
      </c>
      <c r="Q59">
        <v>251</v>
      </c>
      <c r="R59">
        <v>125</v>
      </c>
      <c r="S59">
        <v>24</v>
      </c>
      <c r="T59" s="1">
        <v>8735</v>
      </c>
      <c r="U59">
        <v>557</v>
      </c>
      <c r="V59" s="1">
        <v>61658</v>
      </c>
      <c r="W59" s="1">
        <v>5906</v>
      </c>
      <c r="X59" s="1">
        <v>790200</v>
      </c>
      <c r="Y59" s="1">
        <v>241200</v>
      </c>
      <c r="Z59" t="s">
        <v>1491</v>
      </c>
      <c r="AA59" t="s">
        <v>1492</v>
      </c>
      <c r="AB59">
        <v>28540</v>
      </c>
      <c r="AC59">
        <v>5197</v>
      </c>
      <c r="AD59" t="s">
        <v>1491</v>
      </c>
      <c r="AE59" t="s">
        <v>1492</v>
      </c>
      <c r="AF59">
        <v>28540</v>
      </c>
      <c r="AG59">
        <v>2</v>
      </c>
      <c r="AH59" t="s">
        <v>1493</v>
      </c>
      <c r="AJ59" t="s">
        <v>35</v>
      </c>
      <c r="AK59" t="s">
        <v>1494</v>
      </c>
      <c r="AL59" t="s">
        <v>1495</v>
      </c>
      <c r="AM59" t="s">
        <v>1496</v>
      </c>
      <c r="AN59" t="s">
        <v>1497</v>
      </c>
      <c r="AO59" t="s">
        <v>1498</v>
      </c>
      <c r="AP59" t="s">
        <v>1495</v>
      </c>
      <c r="AQ59" t="s">
        <v>706</v>
      </c>
      <c r="AR59" t="s">
        <v>1496</v>
      </c>
      <c r="AS59" t="s">
        <v>1497</v>
      </c>
      <c r="AT59" t="s">
        <v>1498</v>
      </c>
      <c r="AU59" t="s">
        <v>1499</v>
      </c>
      <c r="BC59">
        <v>1</v>
      </c>
      <c r="BD59">
        <v>3</v>
      </c>
      <c r="BE59">
        <v>0</v>
      </c>
      <c r="BF59">
        <v>0</v>
      </c>
      <c r="BG59">
        <v>4</v>
      </c>
      <c r="BI59" s="1">
        <v>10852</v>
      </c>
      <c r="BJ59">
        <v>6</v>
      </c>
      <c r="BK59">
        <v>0</v>
      </c>
      <c r="BL59">
        <v>6</v>
      </c>
      <c r="BM59">
        <v>28.5</v>
      </c>
      <c r="BN59">
        <v>34.5</v>
      </c>
      <c r="BO59" s="3">
        <v>0.1739</v>
      </c>
      <c r="BP59" s="1">
        <v>6106</v>
      </c>
      <c r="BQ59" s="4">
        <v>97469</v>
      </c>
      <c r="BU59" s="4">
        <v>45028</v>
      </c>
      <c r="BV59" s="4">
        <v>58537</v>
      </c>
      <c r="BY59" s="4">
        <v>45028</v>
      </c>
      <c r="BZ59" s="4">
        <v>58537</v>
      </c>
      <c r="CC59" s="4">
        <v>45028</v>
      </c>
      <c r="CD59" s="4">
        <v>58537</v>
      </c>
      <c r="CG59" s="4">
        <v>45028</v>
      </c>
      <c r="CH59" s="4">
        <v>58537</v>
      </c>
      <c r="CK59" s="4">
        <v>45028</v>
      </c>
      <c r="CL59" s="4">
        <v>58537</v>
      </c>
      <c r="CR59" s="4">
        <v>28124</v>
      </c>
      <c r="CS59" s="4">
        <v>36562</v>
      </c>
      <c r="CV59" s="4">
        <v>25003</v>
      </c>
      <c r="CW59" s="4">
        <v>32503</v>
      </c>
      <c r="CZ59" s="4">
        <v>34218</v>
      </c>
      <c r="DA59" s="4">
        <v>44483</v>
      </c>
      <c r="DD59" s="4">
        <v>25003</v>
      </c>
      <c r="DE59" s="4">
        <v>32503</v>
      </c>
      <c r="DO59" s="4">
        <v>25003</v>
      </c>
      <c r="DP59" s="4">
        <v>32503</v>
      </c>
      <c r="DV59" s="4">
        <v>0</v>
      </c>
      <c r="DW59" s="4">
        <v>1841028</v>
      </c>
      <c r="DX59" s="4">
        <v>1841028</v>
      </c>
      <c r="DY59" s="4">
        <v>220280</v>
      </c>
      <c r="DZ59" s="4">
        <v>0</v>
      </c>
      <c r="EA59" s="4">
        <v>220280</v>
      </c>
      <c r="EB59" s="4">
        <v>13936</v>
      </c>
      <c r="EC59" s="4">
        <v>0</v>
      </c>
      <c r="ED59" s="4">
        <v>13936</v>
      </c>
      <c r="EE59" s="4">
        <v>186379</v>
      </c>
      <c r="EF59" s="4">
        <v>2261623</v>
      </c>
      <c r="EG59" s="4">
        <v>1191952</v>
      </c>
      <c r="EH59" s="4">
        <v>360720</v>
      </c>
      <c r="EI59" s="4">
        <v>1552672</v>
      </c>
      <c r="EJ59" s="4">
        <v>115148</v>
      </c>
      <c r="EK59" s="4">
        <v>42693</v>
      </c>
      <c r="EL59" s="4">
        <v>39009</v>
      </c>
      <c r="EM59" s="4">
        <v>196850</v>
      </c>
      <c r="EN59" s="4">
        <v>476547</v>
      </c>
      <c r="EO59" s="4">
        <v>2226069</v>
      </c>
      <c r="EP59" s="4">
        <v>35554</v>
      </c>
      <c r="EQ59" s="3">
        <v>1.5699999999999999E-2</v>
      </c>
      <c r="ER59" s="4">
        <v>0</v>
      </c>
      <c r="ES59" s="4">
        <v>0</v>
      </c>
      <c r="ET59" s="4">
        <v>0</v>
      </c>
      <c r="EU59" s="4">
        <v>0</v>
      </c>
      <c r="EV59" s="4">
        <v>0</v>
      </c>
      <c r="EW59" s="4">
        <v>21711</v>
      </c>
      <c r="EX59" s="1">
        <v>36426</v>
      </c>
      <c r="EY59" s="1">
        <v>238142</v>
      </c>
      <c r="EZ59" s="1">
        <v>37456</v>
      </c>
      <c r="FA59" s="1">
        <v>6066</v>
      </c>
      <c r="FB59" s="1">
        <v>27400</v>
      </c>
      <c r="FC59" s="1">
        <v>23555</v>
      </c>
      <c r="FD59" s="1">
        <v>1343</v>
      </c>
      <c r="FE59" s="1">
        <v>11807</v>
      </c>
      <c r="FF59" s="1">
        <v>61011</v>
      </c>
      <c r="FG59" s="1">
        <v>7409</v>
      </c>
      <c r="FH59" s="1">
        <v>39207</v>
      </c>
      <c r="FI59" s="1">
        <v>107627</v>
      </c>
      <c r="FJ59">
        <v>0</v>
      </c>
      <c r="FK59">
        <v>78</v>
      </c>
      <c r="FM59" s="1">
        <v>107627</v>
      </c>
      <c r="FN59" s="1">
        <v>8900</v>
      </c>
      <c r="FO59" s="1">
        <v>10330</v>
      </c>
      <c r="FP59" s="1">
        <v>1783</v>
      </c>
      <c r="FQ59">
        <v>8</v>
      </c>
      <c r="FR59">
        <v>88</v>
      </c>
      <c r="FS59">
        <v>96</v>
      </c>
      <c r="FT59" s="1">
        <v>44141</v>
      </c>
      <c r="FU59" s="1">
        <v>3505</v>
      </c>
      <c r="FV59">
        <v>0</v>
      </c>
      <c r="FW59">
        <v>0</v>
      </c>
      <c r="FX59" s="1">
        <v>8544</v>
      </c>
      <c r="FY59" s="1">
        <v>1573</v>
      </c>
      <c r="FZ59">
        <v>322</v>
      </c>
      <c r="GA59">
        <v>0</v>
      </c>
      <c r="GF59" s="1">
        <v>36593</v>
      </c>
      <c r="GG59" s="1">
        <v>13194</v>
      </c>
      <c r="GH59">
        <v>264</v>
      </c>
      <c r="GI59">
        <v>12</v>
      </c>
      <c r="GJ59">
        <v>874</v>
      </c>
      <c r="GK59">
        <v>228</v>
      </c>
      <c r="GL59">
        <v>5</v>
      </c>
      <c r="GM59">
        <v>73</v>
      </c>
      <c r="GN59" s="1">
        <v>90152</v>
      </c>
      <c r="GO59" s="1">
        <v>18500</v>
      </c>
      <c r="GP59">
        <v>591</v>
      </c>
      <c r="GQ59">
        <v>85</v>
      </c>
      <c r="GR59">
        <v>28</v>
      </c>
      <c r="GT59" s="1">
        <v>101279</v>
      </c>
      <c r="GU59" s="1">
        <v>17402</v>
      </c>
      <c r="GV59" s="1">
        <v>161994</v>
      </c>
      <c r="GW59" s="1">
        <v>33236</v>
      </c>
      <c r="GX59" s="1">
        <v>2955</v>
      </c>
      <c r="GY59" s="1">
        <v>37837</v>
      </c>
      <c r="GZ59" s="1">
        <v>134515</v>
      </c>
      <c r="HA59" s="1">
        <v>20357</v>
      </c>
      <c r="HB59" s="1">
        <v>199831</v>
      </c>
      <c r="HC59" s="1">
        <v>354703</v>
      </c>
      <c r="HD59">
        <v>687</v>
      </c>
      <c r="HE59" s="1">
        <v>356885</v>
      </c>
      <c r="HF59" s="1">
        <v>26900</v>
      </c>
      <c r="HG59" s="1">
        <v>97378</v>
      </c>
      <c r="HH59" s="1">
        <v>1495</v>
      </c>
      <c r="HI59">
        <v>94</v>
      </c>
      <c r="HJ59" s="1">
        <v>124372</v>
      </c>
      <c r="HK59" s="1">
        <v>481257</v>
      </c>
      <c r="HL59">
        <v>148</v>
      </c>
      <c r="HM59" s="1">
        <v>33457</v>
      </c>
      <c r="HN59" s="1">
        <v>33605</v>
      </c>
      <c r="HO59">
        <v>401</v>
      </c>
      <c r="HP59" s="1">
        <v>17553</v>
      </c>
      <c r="HQ59" s="1">
        <v>17954</v>
      </c>
      <c r="HR59">
        <v>0</v>
      </c>
      <c r="HS59">
        <v>353</v>
      </c>
      <c r="HT59">
        <v>353</v>
      </c>
      <c r="HU59" s="1">
        <v>2810</v>
      </c>
      <c r="HV59" s="1">
        <v>54722</v>
      </c>
      <c r="HW59" s="1">
        <v>23696</v>
      </c>
      <c r="HX59" s="1">
        <v>112451</v>
      </c>
      <c r="HY59" s="1">
        <v>136147</v>
      </c>
      <c r="HZ59" s="1">
        <v>190869</v>
      </c>
      <c r="IA59" s="1">
        <v>44854</v>
      </c>
      <c r="IB59" s="1">
        <v>142585</v>
      </c>
      <c r="IC59" s="1">
        <v>535979</v>
      </c>
      <c r="ID59" s="1">
        <v>535979</v>
      </c>
      <c r="IE59" s="1">
        <v>672126</v>
      </c>
      <c r="IF59" s="1">
        <v>223428</v>
      </c>
      <c r="IG59">
        <v>94</v>
      </c>
      <c r="IJ59">
        <v>1</v>
      </c>
      <c r="IK59" s="3">
        <v>4.5900000000000003E-2</v>
      </c>
      <c r="IL59" s="3">
        <v>2.9999999999999997E-4</v>
      </c>
      <c r="IM59" s="3">
        <v>0.45910000000000001</v>
      </c>
      <c r="IN59" s="3">
        <v>0</v>
      </c>
      <c r="IO59" s="3">
        <v>0.37859999999999999</v>
      </c>
      <c r="IP59" s="3">
        <v>4.0000000000000002E-4</v>
      </c>
      <c r="IQ59" s="3">
        <v>0.45190000000000002</v>
      </c>
      <c r="IR59" s="3">
        <v>0.11509999999999999</v>
      </c>
      <c r="IS59" s="3">
        <v>0.41689999999999999</v>
      </c>
      <c r="IT59" s="1">
        <v>44661</v>
      </c>
      <c r="IU59" s="1">
        <v>13438</v>
      </c>
      <c r="IV59" s="1">
        <v>58099</v>
      </c>
      <c r="IW59" s="3">
        <v>0.29849999999999999</v>
      </c>
      <c r="IX59" s="1">
        <v>400029</v>
      </c>
      <c r="IZ59">
        <v>266</v>
      </c>
      <c r="JA59">
        <v>110</v>
      </c>
      <c r="JB59" s="1">
        <v>1118</v>
      </c>
      <c r="JC59">
        <v>37</v>
      </c>
      <c r="JD59">
        <v>1</v>
      </c>
      <c r="JE59">
        <v>5</v>
      </c>
      <c r="JF59">
        <v>303</v>
      </c>
      <c r="JG59">
        <v>111</v>
      </c>
      <c r="JH59" s="1">
        <v>1123</v>
      </c>
      <c r="JI59" s="1">
        <v>1537</v>
      </c>
      <c r="JJ59" s="1">
        <v>1494</v>
      </c>
      <c r="JK59">
        <v>43</v>
      </c>
      <c r="JL59" s="1">
        <v>7730</v>
      </c>
      <c r="JM59">
        <v>797</v>
      </c>
      <c r="JN59" s="1">
        <v>24106</v>
      </c>
      <c r="JO59">
        <v>623</v>
      </c>
      <c r="JP59">
        <v>21</v>
      </c>
      <c r="JQ59">
        <v>348</v>
      </c>
      <c r="JR59" s="1">
        <v>8353</v>
      </c>
      <c r="JS59">
        <v>818</v>
      </c>
      <c r="JT59" s="1">
        <v>24454</v>
      </c>
      <c r="JU59" s="1">
        <v>33625</v>
      </c>
      <c r="JV59" s="1">
        <v>32633</v>
      </c>
      <c r="JW59">
        <v>992</v>
      </c>
      <c r="JX59">
        <v>21.88</v>
      </c>
      <c r="JY59">
        <v>27.57</v>
      </c>
      <c r="JZ59">
        <v>21.78</v>
      </c>
      <c r="KA59">
        <v>0.25</v>
      </c>
      <c r="KB59">
        <v>0.73</v>
      </c>
      <c r="KC59">
        <v>45</v>
      </c>
      <c r="KD59">
        <v>23</v>
      </c>
      <c r="KE59">
        <v>8</v>
      </c>
      <c r="KF59">
        <v>66</v>
      </c>
      <c r="KG59">
        <v>950</v>
      </c>
      <c r="KH59" s="1">
        <v>19608</v>
      </c>
      <c r="KI59">
        <v>56</v>
      </c>
      <c r="KJ59">
        <v>624</v>
      </c>
      <c r="KK59">
        <v>56</v>
      </c>
      <c r="KL59" s="1">
        <v>1464</v>
      </c>
      <c r="KM59" s="1">
        <v>80434</v>
      </c>
      <c r="KN59" s="1">
        <v>30129</v>
      </c>
      <c r="KO59" s="1">
        <v>1766</v>
      </c>
      <c r="KQ59">
        <v>231</v>
      </c>
      <c r="KR59" s="1">
        <v>3633</v>
      </c>
      <c r="KS59">
        <v>660</v>
      </c>
      <c r="KT59">
        <v>240</v>
      </c>
      <c r="KU59">
        <v>43</v>
      </c>
      <c r="KV59">
        <v>114</v>
      </c>
      <c r="KW59" s="1">
        <v>66044</v>
      </c>
      <c r="LC59" t="s">
        <v>1493</v>
      </c>
      <c r="LD59" t="s">
        <v>709</v>
      </c>
      <c r="LE59" t="s">
        <v>1491</v>
      </c>
      <c r="LF59" t="s">
        <v>1492</v>
      </c>
      <c r="LG59">
        <v>28540</v>
      </c>
      <c r="LH59">
        <v>5197</v>
      </c>
      <c r="LI59" t="s">
        <v>1491</v>
      </c>
      <c r="LJ59" t="s">
        <v>1492</v>
      </c>
      <c r="LK59">
        <v>28540</v>
      </c>
      <c r="LL59">
        <v>5197</v>
      </c>
      <c r="LM59" t="s">
        <v>1494</v>
      </c>
      <c r="LN59">
        <v>9104557350</v>
      </c>
      <c r="LO59">
        <v>9109895790</v>
      </c>
      <c r="LP59" s="1">
        <v>34136</v>
      </c>
      <c r="LQ59">
        <v>34.5</v>
      </c>
      <c r="LS59" s="1">
        <v>10852</v>
      </c>
      <c r="LT59">
        <v>208</v>
      </c>
      <c r="LW59">
        <v>2</v>
      </c>
      <c r="LX59" t="s">
        <v>1500</v>
      </c>
      <c r="LY59">
        <v>0</v>
      </c>
      <c r="LZ59" t="s">
        <v>691</v>
      </c>
      <c r="MA59">
        <v>120.16</v>
      </c>
      <c r="MB59">
        <v>129.58000000000001</v>
      </c>
    </row>
    <row r="60" spans="1:340" x14ac:dyDescent="0.25">
      <c r="A60" t="s">
        <v>1501</v>
      </c>
      <c r="B60">
        <v>0</v>
      </c>
      <c r="C60">
        <v>1375</v>
      </c>
      <c r="D60">
        <v>2017</v>
      </c>
      <c r="E60">
        <v>0</v>
      </c>
      <c r="F60" t="s">
        <v>1501</v>
      </c>
      <c r="G60" t="s">
        <v>1502</v>
      </c>
      <c r="H60" t="s">
        <v>668</v>
      </c>
      <c r="I60" t="s">
        <v>669</v>
      </c>
      <c r="J60" t="s">
        <v>725</v>
      </c>
      <c r="K60" t="s">
        <v>671</v>
      </c>
      <c r="L60" t="s">
        <v>791</v>
      </c>
      <c r="M60" t="s">
        <v>673</v>
      </c>
      <c r="N60" s="1">
        <v>83685</v>
      </c>
      <c r="O60" t="s">
        <v>806</v>
      </c>
      <c r="P60">
        <v>486</v>
      </c>
      <c r="Q60">
        <v>134</v>
      </c>
      <c r="R60">
        <v>96</v>
      </c>
      <c r="S60">
        <v>14</v>
      </c>
      <c r="T60" s="1">
        <v>3000</v>
      </c>
      <c r="U60">
        <v>182</v>
      </c>
      <c r="V60" s="1">
        <v>54141</v>
      </c>
      <c r="W60" s="1">
        <v>4986</v>
      </c>
      <c r="X60" s="1">
        <v>368199</v>
      </c>
      <c r="Z60" t="s">
        <v>1503</v>
      </c>
      <c r="AA60" t="s">
        <v>1504</v>
      </c>
      <c r="AB60">
        <v>27278</v>
      </c>
      <c r="AD60" t="s">
        <v>1503</v>
      </c>
      <c r="AE60" t="s">
        <v>1504</v>
      </c>
      <c r="AF60">
        <v>27278</v>
      </c>
      <c r="AG60">
        <v>3</v>
      </c>
      <c r="AH60" t="s">
        <v>1505</v>
      </c>
      <c r="AJ60" t="s">
        <v>35</v>
      </c>
      <c r="AK60" t="s">
        <v>905</v>
      </c>
      <c r="AL60" t="s">
        <v>1506</v>
      </c>
      <c r="AM60" t="s">
        <v>1507</v>
      </c>
      <c r="AN60" t="s">
        <v>1508</v>
      </c>
      <c r="AO60" t="s">
        <v>1509</v>
      </c>
      <c r="AP60" t="s">
        <v>1510</v>
      </c>
      <c r="AQ60" t="s">
        <v>1511</v>
      </c>
      <c r="AR60" t="s">
        <v>1512</v>
      </c>
      <c r="AS60" t="s">
        <v>1508</v>
      </c>
      <c r="AT60" t="s">
        <v>1513</v>
      </c>
      <c r="AU60" t="s">
        <v>1514</v>
      </c>
      <c r="BC60">
        <v>1</v>
      </c>
      <c r="BD60">
        <v>2</v>
      </c>
      <c r="BE60">
        <v>0</v>
      </c>
      <c r="BF60">
        <v>0</v>
      </c>
      <c r="BG60">
        <v>3</v>
      </c>
      <c r="BI60" s="1">
        <v>6916</v>
      </c>
      <c r="BJ60">
        <v>12.15</v>
      </c>
      <c r="BK60">
        <v>0</v>
      </c>
      <c r="BL60">
        <v>12.15</v>
      </c>
      <c r="BM60">
        <v>12.13</v>
      </c>
      <c r="BN60">
        <v>24.28</v>
      </c>
      <c r="BO60" s="3">
        <v>0.50039999999999996</v>
      </c>
      <c r="BP60" s="1">
        <v>1994</v>
      </c>
      <c r="BQ60" s="4">
        <v>96933</v>
      </c>
      <c r="BT60" s="1">
        <v>71308</v>
      </c>
      <c r="BY60" s="4">
        <v>56560</v>
      </c>
      <c r="BZ60" s="4">
        <v>56560</v>
      </c>
      <c r="CA60" s="4">
        <v>56560</v>
      </c>
      <c r="CC60" s="4">
        <v>54302</v>
      </c>
      <c r="CD60" s="4">
        <v>54302</v>
      </c>
      <c r="CE60" s="1">
        <v>54302</v>
      </c>
      <c r="CG60" s="4">
        <v>69101</v>
      </c>
      <c r="CH60" s="4">
        <v>69101</v>
      </c>
      <c r="CI60" s="4">
        <v>69101</v>
      </c>
      <c r="CK60" s="4">
        <v>47951</v>
      </c>
      <c r="CL60" s="4">
        <v>47951</v>
      </c>
      <c r="CM60" s="1">
        <v>47951</v>
      </c>
      <c r="CR60" s="4">
        <v>48911</v>
      </c>
      <c r="CS60" s="4">
        <v>49808</v>
      </c>
      <c r="CT60" s="4">
        <v>49359</v>
      </c>
      <c r="CV60" s="4">
        <v>43112</v>
      </c>
      <c r="CW60" s="4">
        <v>56324</v>
      </c>
      <c r="CX60" s="4">
        <v>49718</v>
      </c>
      <c r="CZ60" s="4">
        <v>48466</v>
      </c>
      <c r="DA60" s="4">
        <v>48648</v>
      </c>
      <c r="DB60" s="4">
        <v>48555</v>
      </c>
      <c r="DH60" s="4">
        <v>53711</v>
      </c>
      <c r="DI60" s="4">
        <v>53711</v>
      </c>
      <c r="DJ60" s="4">
        <v>53711</v>
      </c>
      <c r="DK60" s="4">
        <v>37732</v>
      </c>
      <c r="DL60" s="4">
        <v>37732</v>
      </c>
      <c r="DM60" s="4">
        <v>37732</v>
      </c>
      <c r="DO60" s="4">
        <v>33150</v>
      </c>
      <c r="DP60" s="4">
        <v>37968</v>
      </c>
      <c r="DQ60" s="4">
        <v>35559</v>
      </c>
      <c r="DV60" s="4">
        <v>4000</v>
      </c>
      <c r="DW60" s="4">
        <v>2040252</v>
      </c>
      <c r="DX60" s="4">
        <v>2044252</v>
      </c>
      <c r="DY60" s="4">
        <v>104512</v>
      </c>
      <c r="DZ60" s="4">
        <v>56310</v>
      </c>
      <c r="EA60" s="4">
        <v>160822</v>
      </c>
      <c r="EB60" s="4">
        <v>73890</v>
      </c>
      <c r="EC60" s="4">
        <v>0</v>
      </c>
      <c r="ED60" s="4">
        <v>73890</v>
      </c>
      <c r="EE60" s="4">
        <v>60734</v>
      </c>
      <c r="EF60" s="4">
        <v>2339698</v>
      </c>
      <c r="EG60" s="4">
        <v>1318594</v>
      </c>
      <c r="EH60" s="4">
        <v>518426</v>
      </c>
      <c r="EI60" s="4">
        <v>1837020</v>
      </c>
      <c r="EJ60" s="4">
        <v>154218</v>
      </c>
      <c r="EK60" s="4">
        <v>49731</v>
      </c>
      <c r="EL60" s="4">
        <v>32249</v>
      </c>
      <c r="EM60" s="4">
        <v>236198</v>
      </c>
      <c r="EN60" s="4">
        <v>234417</v>
      </c>
      <c r="EO60" s="4">
        <v>2307635</v>
      </c>
      <c r="EP60" s="4">
        <v>32063</v>
      </c>
      <c r="EQ60" s="3">
        <v>1.37E-2</v>
      </c>
      <c r="ER60" s="4">
        <v>0</v>
      </c>
      <c r="ES60" s="4">
        <v>0</v>
      </c>
      <c r="ET60" s="4">
        <v>20941</v>
      </c>
      <c r="EU60" s="4">
        <v>2617</v>
      </c>
      <c r="EV60" s="4">
        <v>23558</v>
      </c>
      <c r="EW60" s="4">
        <v>23558</v>
      </c>
      <c r="EX60" s="1">
        <v>18714</v>
      </c>
      <c r="EY60" s="1">
        <v>170111</v>
      </c>
      <c r="EZ60" s="1">
        <v>27090</v>
      </c>
      <c r="FA60" s="1">
        <v>5208</v>
      </c>
      <c r="FB60" s="1">
        <v>31044</v>
      </c>
      <c r="FC60" s="1">
        <v>20083</v>
      </c>
      <c r="FD60">
        <v>871</v>
      </c>
      <c r="FE60" s="1">
        <v>10504</v>
      </c>
      <c r="FF60" s="1">
        <v>47173</v>
      </c>
      <c r="FG60" s="1">
        <v>6079</v>
      </c>
      <c r="FH60" s="1">
        <v>41548</v>
      </c>
      <c r="FI60" s="1">
        <v>94800</v>
      </c>
      <c r="FJ60">
        <v>268</v>
      </c>
      <c r="FK60">
        <v>203</v>
      </c>
      <c r="FM60" s="1">
        <v>94800</v>
      </c>
      <c r="FN60" s="1">
        <v>6903</v>
      </c>
      <c r="FO60" s="1">
        <v>7976</v>
      </c>
      <c r="FP60">
        <v>405</v>
      </c>
      <c r="FQ60">
        <v>9</v>
      </c>
      <c r="FR60">
        <v>88</v>
      </c>
      <c r="FS60">
        <v>97</v>
      </c>
      <c r="FT60" s="1">
        <v>44141</v>
      </c>
      <c r="FU60" s="1">
        <v>3505</v>
      </c>
      <c r="FV60">
        <v>0</v>
      </c>
      <c r="FW60">
        <v>0</v>
      </c>
      <c r="FX60" s="1">
        <v>8544</v>
      </c>
      <c r="FY60" s="1">
        <v>1573</v>
      </c>
      <c r="FZ60">
        <v>322</v>
      </c>
      <c r="GA60">
        <v>0</v>
      </c>
      <c r="GE60">
        <v>0</v>
      </c>
      <c r="GJ60" s="1">
        <v>1044</v>
      </c>
      <c r="GK60">
        <v>330</v>
      </c>
      <c r="GL60">
        <v>0</v>
      </c>
      <c r="GM60">
        <v>0</v>
      </c>
      <c r="GN60" s="1">
        <v>53729</v>
      </c>
      <c r="GO60" s="1">
        <v>5408</v>
      </c>
      <c r="GP60">
        <v>322</v>
      </c>
      <c r="GQ60">
        <v>0</v>
      </c>
      <c r="GR60">
        <v>32</v>
      </c>
      <c r="GT60" s="1">
        <v>63939</v>
      </c>
      <c r="GU60" s="1">
        <v>10323</v>
      </c>
      <c r="GV60" s="1">
        <v>134652</v>
      </c>
      <c r="GW60" s="1">
        <v>41881</v>
      </c>
      <c r="GX60" s="1">
        <v>6095</v>
      </c>
      <c r="GY60" s="1">
        <v>55588</v>
      </c>
      <c r="GZ60" s="1">
        <v>105820</v>
      </c>
      <c r="HA60" s="1">
        <v>16418</v>
      </c>
      <c r="HB60" s="1">
        <v>190240</v>
      </c>
      <c r="HC60" s="1">
        <v>312478</v>
      </c>
      <c r="HD60" s="1">
        <v>3823</v>
      </c>
      <c r="HE60" s="1">
        <v>316301</v>
      </c>
      <c r="HF60" s="1">
        <v>23295</v>
      </c>
      <c r="HG60" s="1">
        <v>59438</v>
      </c>
      <c r="HH60">
        <v>0</v>
      </c>
      <c r="HI60" s="1">
        <v>2797</v>
      </c>
      <c r="HJ60" s="1">
        <v>85530</v>
      </c>
      <c r="HK60" s="1">
        <v>401831</v>
      </c>
      <c r="HL60">
        <v>12</v>
      </c>
      <c r="HM60" s="1">
        <v>8280</v>
      </c>
      <c r="HN60" s="1">
        <v>8292</v>
      </c>
      <c r="HO60">
        <v>123</v>
      </c>
      <c r="HP60" s="1">
        <v>3493</v>
      </c>
      <c r="HQ60" s="1">
        <v>3616</v>
      </c>
      <c r="HR60">
        <v>0</v>
      </c>
      <c r="HS60">
        <v>0</v>
      </c>
      <c r="HT60">
        <v>0</v>
      </c>
      <c r="HU60">
        <v>0</v>
      </c>
      <c r="HV60" s="1">
        <v>11908</v>
      </c>
      <c r="HW60" s="1">
        <v>12260</v>
      </c>
      <c r="HX60" s="1">
        <v>1633</v>
      </c>
      <c r="HY60" s="1">
        <v>13893</v>
      </c>
      <c r="HZ60" s="1">
        <v>25801</v>
      </c>
      <c r="IA60" s="1">
        <v>26911</v>
      </c>
      <c r="IB60" s="1">
        <v>86349</v>
      </c>
      <c r="IC60" s="1">
        <v>413739</v>
      </c>
      <c r="ID60" s="1">
        <v>413739</v>
      </c>
      <c r="IE60" s="1">
        <v>427632</v>
      </c>
      <c r="IF60" s="1">
        <v>225247</v>
      </c>
      <c r="IG60" s="1">
        <v>2085</v>
      </c>
      <c r="IJ60">
        <v>1</v>
      </c>
      <c r="IK60" s="3">
        <v>4.8800000000000003E-2</v>
      </c>
      <c r="IL60" s="3">
        <v>1.1999999999999999E-3</v>
      </c>
      <c r="IM60" s="3">
        <v>0.34949999999999998</v>
      </c>
      <c r="IN60" s="3">
        <v>0</v>
      </c>
      <c r="IO60" s="3">
        <v>0.31580000000000003</v>
      </c>
      <c r="IP60" s="3">
        <v>5.9999999999999995E-4</v>
      </c>
      <c r="IQ60" s="3">
        <v>0.55730000000000002</v>
      </c>
      <c r="IR60" s="3">
        <v>7.2400000000000006E-2</v>
      </c>
      <c r="IS60" s="3">
        <v>0.5444</v>
      </c>
      <c r="IT60" s="1">
        <v>14701</v>
      </c>
      <c r="IU60" s="1">
        <v>2624</v>
      </c>
      <c r="IV60" s="1">
        <v>17325</v>
      </c>
      <c r="IW60" s="3">
        <v>0.20699999999999999</v>
      </c>
      <c r="IX60" s="1">
        <v>240610</v>
      </c>
      <c r="IZ60">
        <v>105</v>
      </c>
      <c r="JA60">
        <v>15</v>
      </c>
      <c r="JB60">
        <v>376</v>
      </c>
      <c r="JC60">
        <v>9</v>
      </c>
      <c r="JD60">
        <v>0</v>
      </c>
      <c r="JE60">
        <v>31</v>
      </c>
      <c r="JF60">
        <v>114</v>
      </c>
      <c r="JG60">
        <v>15</v>
      </c>
      <c r="JH60">
        <v>407</v>
      </c>
      <c r="JI60">
        <v>536</v>
      </c>
      <c r="JJ60">
        <v>496</v>
      </c>
      <c r="JK60">
        <v>40</v>
      </c>
      <c r="JL60">
        <v>904</v>
      </c>
      <c r="JM60">
        <v>82</v>
      </c>
      <c r="JN60" s="1">
        <v>9270</v>
      </c>
      <c r="JO60">
        <v>82</v>
      </c>
      <c r="JP60">
        <v>0</v>
      </c>
      <c r="JQ60">
        <v>334</v>
      </c>
      <c r="JR60">
        <v>986</v>
      </c>
      <c r="JS60">
        <v>82</v>
      </c>
      <c r="JT60" s="1">
        <v>9604</v>
      </c>
      <c r="JU60" s="1">
        <v>10672</v>
      </c>
      <c r="JV60" s="1">
        <v>10256</v>
      </c>
      <c r="JW60">
        <v>416</v>
      </c>
      <c r="JX60">
        <v>19.91</v>
      </c>
      <c r="JY60">
        <v>8.65</v>
      </c>
      <c r="JZ60">
        <v>23.6</v>
      </c>
      <c r="KA60">
        <v>0.09</v>
      </c>
      <c r="KB60">
        <v>0.9</v>
      </c>
      <c r="KC60">
        <v>4</v>
      </c>
      <c r="KD60">
        <v>15</v>
      </c>
      <c r="KE60">
        <v>35</v>
      </c>
      <c r="KF60">
        <v>135</v>
      </c>
      <c r="KG60">
        <v>129</v>
      </c>
      <c r="KH60" s="1">
        <v>3560</v>
      </c>
      <c r="KI60">
        <v>28</v>
      </c>
      <c r="KJ60">
        <v>334</v>
      </c>
      <c r="KK60">
        <v>70</v>
      </c>
      <c r="KL60" s="1">
        <v>1613</v>
      </c>
      <c r="KM60" s="1">
        <v>18470</v>
      </c>
      <c r="KN60" s="1">
        <v>6936</v>
      </c>
      <c r="KO60">
        <v>360</v>
      </c>
      <c r="KQ60" s="1">
        <v>4601</v>
      </c>
      <c r="KR60" s="1">
        <v>9720</v>
      </c>
      <c r="KS60">
        <v>13</v>
      </c>
      <c r="KT60">
        <v>183</v>
      </c>
      <c r="KU60">
        <v>35</v>
      </c>
      <c r="KV60">
        <v>60</v>
      </c>
      <c r="KW60" s="1">
        <v>47404</v>
      </c>
      <c r="KY60" s="1">
        <v>200434</v>
      </c>
      <c r="KZ60" s="1">
        <v>16121</v>
      </c>
      <c r="LC60" t="s">
        <v>1505</v>
      </c>
      <c r="LD60" t="s">
        <v>709</v>
      </c>
      <c r="LE60" t="s">
        <v>1503</v>
      </c>
      <c r="LF60" t="s">
        <v>1504</v>
      </c>
      <c r="LG60">
        <v>27278</v>
      </c>
      <c r="LI60" t="s">
        <v>1503</v>
      </c>
      <c r="LJ60" t="s">
        <v>1515</v>
      </c>
      <c r="LK60">
        <v>27278</v>
      </c>
      <c r="LM60" t="s">
        <v>1516</v>
      </c>
      <c r="LN60">
        <v>9192452525</v>
      </c>
      <c r="LO60">
        <v>9196443003</v>
      </c>
      <c r="LP60" s="1">
        <v>31560</v>
      </c>
      <c r="LQ60">
        <v>24.13</v>
      </c>
      <c r="LS60" s="1">
        <v>6916</v>
      </c>
      <c r="LT60">
        <v>156</v>
      </c>
      <c r="LW60">
        <v>1</v>
      </c>
      <c r="LX60" t="s">
        <v>1517</v>
      </c>
      <c r="LY60">
        <v>0</v>
      </c>
      <c r="LZ60" t="s">
        <v>691</v>
      </c>
      <c r="MA60">
        <v>90.35</v>
      </c>
      <c r="MB60">
        <v>12.6</v>
      </c>
    </row>
    <row r="61" spans="1:340" x14ac:dyDescent="0.25">
      <c r="A61" t="s">
        <v>1518</v>
      </c>
      <c r="B61">
        <v>0</v>
      </c>
      <c r="C61">
        <v>1375</v>
      </c>
      <c r="D61">
        <v>2017</v>
      </c>
      <c r="E61">
        <v>0</v>
      </c>
      <c r="F61" t="s">
        <v>1518</v>
      </c>
      <c r="G61" t="s">
        <v>1519</v>
      </c>
      <c r="H61" t="s">
        <v>668</v>
      </c>
      <c r="I61" t="s">
        <v>669</v>
      </c>
      <c r="J61" t="s">
        <v>670</v>
      </c>
      <c r="K61" t="s">
        <v>671</v>
      </c>
      <c r="L61" t="s">
        <v>672</v>
      </c>
      <c r="M61" t="s">
        <v>673</v>
      </c>
      <c r="N61" s="1">
        <v>57941</v>
      </c>
      <c r="O61" t="s">
        <v>806</v>
      </c>
      <c r="P61">
        <v>472</v>
      </c>
      <c r="Q61">
        <v>27</v>
      </c>
      <c r="R61">
        <v>137</v>
      </c>
      <c r="S61">
        <v>0</v>
      </c>
      <c r="T61" s="1">
        <v>3607</v>
      </c>
      <c r="U61">
        <v>0</v>
      </c>
      <c r="V61" s="1">
        <v>24305</v>
      </c>
      <c r="W61" s="1">
        <v>3210</v>
      </c>
      <c r="X61" s="1">
        <v>101100</v>
      </c>
      <c r="Z61" t="s">
        <v>1520</v>
      </c>
      <c r="AA61" t="s">
        <v>1521</v>
      </c>
      <c r="AB61">
        <v>28425</v>
      </c>
      <c r="AC61">
        <v>879</v>
      </c>
      <c r="AD61" t="s">
        <v>1522</v>
      </c>
      <c r="AE61" t="s">
        <v>1521</v>
      </c>
      <c r="AF61">
        <v>28425</v>
      </c>
      <c r="AG61">
        <v>3</v>
      </c>
      <c r="AH61" t="s">
        <v>1523</v>
      </c>
      <c r="AJ61" t="s">
        <v>35</v>
      </c>
      <c r="AK61" t="s">
        <v>1524</v>
      </c>
      <c r="AL61" t="s">
        <v>1525</v>
      </c>
      <c r="AM61" t="s">
        <v>1526</v>
      </c>
      <c r="AO61" t="s">
        <v>1527</v>
      </c>
      <c r="AP61" t="s">
        <v>1528</v>
      </c>
      <c r="AQ61" t="s">
        <v>36</v>
      </c>
      <c r="AR61" t="s">
        <v>1526</v>
      </c>
      <c r="AT61" t="s">
        <v>1527</v>
      </c>
      <c r="AU61" t="s">
        <v>1529</v>
      </c>
      <c r="BC61">
        <v>1</v>
      </c>
      <c r="BD61">
        <v>1</v>
      </c>
      <c r="BE61">
        <v>0</v>
      </c>
      <c r="BF61">
        <v>0</v>
      </c>
      <c r="BG61">
        <v>2</v>
      </c>
      <c r="BI61" s="1">
        <v>4556</v>
      </c>
      <c r="BJ61">
        <v>2</v>
      </c>
      <c r="BK61">
        <v>0</v>
      </c>
      <c r="BL61">
        <v>2</v>
      </c>
      <c r="BM61">
        <v>10.8</v>
      </c>
      <c r="BN61">
        <v>12.8</v>
      </c>
      <c r="BO61" s="3">
        <v>0.15629999999999999</v>
      </c>
      <c r="BP61" s="1">
        <v>1866</v>
      </c>
      <c r="BQ61" s="4">
        <v>73538</v>
      </c>
      <c r="CG61" s="4">
        <v>49714</v>
      </c>
      <c r="CH61" s="4">
        <v>79475</v>
      </c>
      <c r="CI61" s="4">
        <v>62698</v>
      </c>
      <c r="DK61" s="4">
        <v>47347</v>
      </c>
      <c r="DL61" s="4">
        <v>75691</v>
      </c>
      <c r="DM61" s="4">
        <v>59712</v>
      </c>
      <c r="DV61" s="4">
        <v>0</v>
      </c>
      <c r="DW61" s="4">
        <v>706383</v>
      </c>
      <c r="DX61" s="4">
        <v>706383</v>
      </c>
      <c r="DY61" s="4">
        <v>106500</v>
      </c>
      <c r="DZ61" s="4">
        <v>0</v>
      </c>
      <c r="EA61" s="4">
        <v>106500</v>
      </c>
      <c r="EB61" s="4">
        <v>0</v>
      </c>
      <c r="EC61" s="4">
        <v>0</v>
      </c>
      <c r="ED61" s="4">
        <v>0</v>
      </c>
      <c r="EE61" s="4">
        <v>0</v>
      </c>
      <c r="EF61" s="4">
        <v>812883</v>
      </c>
      <c r="EG61" s="4">
        <v>488685</v>
      </c>
      <c r="EH61" s="4">
        <v>133961</v>
      </c>
      <c r="EI61" s="4">
        <v>622646</v>
      </c>
      <c r="EJ61" s="4">
        <v>69522</v>
      </c>
      <c r="EK61" s="4">
        <v>11707</v>
      </c>
      <c r="EL61" s="4">
        <v>294</v>
      </c>
      <c r="EM61" s="4">
        <v>81523</v>
      </c>
      <c r="EN61" s="4">
        <v>87767</v>
      </c>
      <c r="EO61" s="4">
        <v>791936</v>
      </c>
      <c r="EP61" s="4">
        <v>20947</v>
      </c>
      <c r="EQ61" s="3">
        <v>2.58E-2</v>
      </c>
      <c r="ER61" s="4">
        <v>5500</v>
      </c>
      <c r="ES61" s="4">
        <v>0</v>
      </c>
      <c r="ET61" s="4">
        <v>0</v>
      </c>
      <c r="EU61" s="4">
        <v>0</v>
      </c>
      <c r="EV61" s="4">
        <v>5500</v>
      </c>
      <c r="EW61" s="4">
        <v>5500</v>
      </c>
      <c r="EX61" s="1">
        <v>11021</v>
      </c>
      <c r="EY61" s="1">
        <v>203416</v>
      </c>
      <c r="EZ61" s="1">
        <v>30615</v>
      </c>
      <c r="FA61" s="1">
        <v>3673</v>
      </c>
      <c r="FB61" s="1">
        <v>26312</v>
      </c>
      <c r="FC61" s="1">
        <v>35513</v>
      </c>
      <c r="FD61">
        <v>0</v>
      </c>
      <c r="FE61" s="1">
        <v>13242</v>
      </c>
      <c r="FF61" s="1">
        <v>66128</v>
      </c>
      <c r="FG61" s="1">
        <v>3673</v>
      </c>
      <c r="FH61" s="1">
        <v>39554</v>
      </c>
      <c r="FI61" s="1">
        <v>109355</v>
      </c>
      <c r="FJ61" s="1">
        <v>1276</v>
      </c>
      <c r="FK61">
        <v>116</v>
      </c>
      <c r="FM61" s="1">
        <v>109355</v>
      </c>
      <c r="FN61" s="1">
        <v>3208</v>
      </c>
      <c r="FO61" s="1">
        <v>2561</v>
      </c>
      <c r="FP61">
        <v>111</v>
      </c>
      <c r="FQ61">
        <v>3</v>
      </c>
      <c r="FR61">
        <v>88</v>
      </c>
      <c r="FS61">
        <v>91</v>
      </c>
      <c r="FT61" s="1">
        <v>44141</v>
      </c>
      <c r="FU61" s="1">
        <v>3505</v>
      </c>
      <c r="FV61">
        <v>0</v>
      </c>
      <c r="FW61">
        <v>0</v>
      </c>
      <c r="FX61" s="1">
        <v>8544</v>
      </c>
      <c r="FY61" s="1">
        <v>1573</v>
      </c>
      <c r="FZ61">
        <v>322</v>
      </c>
      <c r="GA61">
        <v>0</v>
      </c>
      <c r="GB61" s="1">
        <v>26436</v>
      </c>
      <c r="GC61" s="1">
        <v>1747</v>
      </c>
      <c r="GD61">
        <v>278</v>
      </c>
      <c r="GE61">
        <v>55</v>
      </c>
      <c r="GJ61">
        <v>34</v>
      </c>
      <c r="GK61">
        <v>0</v>
      </c>
      <c r="GL61">
        <v>0</v>
      </c>
      <c r="GM61">
        <v>63</v>
      </c>
      <c r="GN61" s="1">
        <v>79155</v>
      </c>
      <c r="GO61" s="1">
        <v>6825</v>
      </c>
      <c r="GP61">
        <v>600</v>
      </c>
      <c r="GQ61">
        <v>118</v>
      </c>
      <c r="GR61">
        <v>37</v>
      </c>
      <c r="GT61" s="1">
        <v>59691</v>
      </c>
      <c r="GU61" s="1">
        <v>8645</v>
      </c>
      <c r="GV61" s="1">
        <v>64550</v>
      </c>
      <c r="GW61" s="1">
        <v>23761</v>
      </c>
      <c r="GY61" s="1">
        <v>18251</v>
      </c>
      <c r="GZ61" s="1">
        <v>83452</v>
      </c>
      <c r="HA61" s="1">
        <v>8645</v>
      </c>
      <c r="HB61" s="1">
        <v>82801</v>
      </c>
      <c r="HC61" s="1">
        <v>174898</v>
      </c>
      <c r="HD61">
        <v>514</v>
      </c>
      <c r="HE61" s="1">
        <v>175519</v>
      </c>
      <c r="HF61" s="1">
        <v>9581</v>
      </c>
      <c r="HG61" s="1">
        <v>19523</v>
      </c>
      <c r="HH61">
        <v>107</v>
      </c>
      <c r="HI61">
        <v>205</v>
      </c>
      <c r="HJ61" s="1">
        <v>29309</v>
      </c>
      <c r="HK61" s="1">
        <v>204828</v>
      </c>
      <c r="HL61">
        <v>111</v>
      </c>
      <c r="HM61" s="1">
        <v>15565</v>
      </c>
      <c r="HN61" s="1">
        <v>15676</v>
      </c>
      <c r="HO61">
        <v>122</v>
      </c>
      <c r="HP61" s="1">
        <v>1765</v>
      </c>
      <c r="HQ61" s="1">
        <v>1887</v>
      </c>
      <c r="HR61">
        <v>0</v>
      </c>
      <c r="HS61">
        <v>21</v>
      </c>
      <c r="HT61">
        <v>21</v>
      </c>
      <c r="HU61" s="1">
        <v>1423</v>
      </c>
      <c r="HV61" s="1">
        <v>19007</v>
      </c>
      <c r="HW61" s="1">
        <v>9067</v>
      </c>
      <c r="HX61" s="1">
        <v>8481</v>
      </c>
      <c r="HY61" s="1">
        <v>17548</v>
      </c>
      <c r="HZ61" s="1">
        <v>36555</v>
      </c>
      <c r="IA61" s="1">
        <v>11468</v>
      </c>
      <c r="IB61" s="1">
        <v>31012</v>
      </c>
      <c r="IC61" s="1">
        <v>223835</v>
      </c>
      <c r="ID61" s="1">
        <v>223835</v>
      </c>
      <c r="IE61" s="1">
        <v>241383</v>
      </c>
      <c r="IF61" s="1">
        <v>93284</v>
      </c>
      <c r="IG61">
        <v>91</v>
      </c>
      <c r="IJ61">
        <v>1</v>
      </c>
      <c r="IK61" s="3">
        <v>1.55E-2</v>
      </c>
      <c r="IL61" s="3">
        <v>5.9999999999999995E-4</v>
      </c>
      <c r="IM61" s="3">
        <v>0.42620000000000002</v>
      </c>
      <c r="IN61" s="3">
        <v>0</v>
      </c>
      <c r="IO61" s="3">
        <v>0.3891</v>
      </c>
      <c r="IP61" s="3">
        <v>4.0000000000000002E-4</v>
      </c>
      <c r="IQ61" s="3">
        <v>0.53759999999999997</v>
      </c>
      <c r="IR61" s="3">
        <v>4.9299999999999997E-2</v>
      </c>
      <c r="IS61" s="3">
        <v>0.4168</v>
      </c>
      <c r="IT61" s="1">
        <v>10379</v>
      </c>
      <c r="IU61" s="1">
        <v>3484</v>
      </c>
      <c r="IV61" s="1">
        <v>13863</v>
      </c>
      <c r="IW61" s="3">
        <v>0.23930000000000001</v>
      </c>
      <c r="IX61" s="1">
        <v>127821</v>
      </c>
      <c r="IZ61">
        <v>15</v>
      </c>
      <c r="JA61">
        <v>2</v>
      </c>
      <c r="JB61">
        <v>538</v>
      </c>
      <c r="JC61">
        <v>1</v>
      </c>
      <c r="JD61">
        <v>0</v>
      </c>
      <c r="JE61">
        <v>16</v>
      </c>
      <c r="JF61">
        <v>16</v>
      </c>
      <c r="JG61">
        <v>2</v>
      </c>
      <c r="JH61">
        <v>554</v>
      </c>
      <c r="JI61">
        <v>572</v>
      </c>
      <c r="JJ61">
        <v>555</v>
      </c>
      <c r="JK61">
        <v>17</v>
      </c>
      <c r="JL61">
        <v>296</v>
      </c>
      <c r="JM61">
        <v>44</v>
      </c>
      <c r="JN61" s="1">
        <v>11850</v>
      </c>
      <c r="JO61">
        <v>32</v>
      </c>
      <c r="JP61">
        <v>0</v>
      </c>
      <c r="JQ61">
        <v>361</v>
      </c>
      <c r="JR61">
        <v>328</v>
      </c>
      <c r="JS61">
        <v>44</v>
      </c>
      <c r="JT61" s="1">
        <v>12211</v>
      </c>
      <c r="JU61" s="1">
        <v>12583</v>
      </c>
      <c r="JV61" s="1">
        <v>12190</v>
      </c>
      <c r="JW61">
        <v>393</v>
      </c>
      <c r="JX61">
        <v>22</v>
      </c>
      <c r="JY61">
        <v>20.5</v>
      </c>
      <c r="JZ61">
        <v>22.04</v>
      </c>
      <c r="KA61">
        <v>0.03</v>
      </c>
      <c r="KB61">
        <v>0.97</v>
      </c>
      <c r="KC61">
        <v>0</v>
      </c>
      <c r="KD61">
        <v>0</v>
      </c>
      <c r="KE61">
        <v>0</v>
      </c>
      <c r="KF61">
        <v>0</v>
      </c>
      <c r="KG61">
        <v>266</v>
      </c>
      <c r="KH61" s="1">
        <v>5368</v>
      </c>
      <c r="KI61">
        <v>0</v>
      </c>
      <c r="KJ61">
        <v>0</v>
      </c>
      <c r="KK61">
        <v>124</v>
      </c>
      <c r="KL61" s="1">
        <v>2297</v>
      </c>
      <c r="KM61" s="1">
        <v>24959</v>
      </c>
      <c r="KN61" s="1">
        <v>5409</v>
      </c>
      <c r="KO61" s="1">
        <v>1534</v>
      </c>
      <c r="KQ61">
        <v>793</v>
      </c>
      <c r="KS61">
        <v>14</v>
      </c>
      <c r="KT61">
        <v>67</v>
      </c>
      <c r="KU61">
        <v>19</v>
      </c>
      <c r="KV61">
        <v>27</v>
      </c>
      <c r="KW61" s="1">
        <v>12116</v>
      </c>
      <c r="KY61" s="1">
        <v>36761</v>
      </c>
      <c r="KZ61" s="1">
        <v>43071</v>
      </c>
      <c r="LC61" t="s">
        <v>1523</v>
      </c>
      <c r="LD61" t="s">
        <v>709</v>
      </c>
      <c r="LE61" t="s">
        <v>1520</v>
      </c>
      <c r="LF61" t="s">
        <v>1521</v>
      </c>
      <c r="LG61">
        <v>28425</v>
      </c>
      <c r="LH61">
        <v>879</v>
      </c>
      <c r="LI61" t="s">
        <v>1522</v>
      </c>
      <c r="LJ61" t="s">
        <v>1521</v>
      </c>
      <c r="LK61">
        <v>28425</v>
      </c>
      <c r="LL61">
        <v>879</v>
      </c>
      <c r="LM61" t="s">
        <v>1524</v>
      </c>
      <c r="LN61">
        <v>9102591234</v>
      </c>
      <c r="LP61" s="1">
        <v>21000</v>
      </c>
      <c r="LQ61">
        <v>13.43</v>
      </c>
      <c r="LS61" s="1">
        <v>4556</v>
      </c>
      <c r="LT61">
        <v>104</v>
      </c>
      <c r="LW61">
        <v>2</v>
      </c>
      <c r="LX61" t="s">
        <v>1530</v>
      </c>
      <c r="LY61">
        <v>0</v>
      </c>
      <c r="LZ61" t="s">
        <v>691</v>
      </c>
      <c r="MA61">
        <v>29.6</v>
      </c>
      <c r="MB61">
        <v>20.32</v>
      </c>
    </row>
    <row r="62" spans="1:340" x14ac:dyDescent="0.25">
      <c r="A62" t="s">
        <v>1531</v>
      </c>
      <c r="B62">
        <v>0</v>
      </c>
      <c r="C62">
        <v>1375</v>
      </c>
      <c r="D62">
        <v>2017</v>
      </c>
      <c r="E62">
        <v>0</v>
      </c>
      <c r="F62" t="s">
        <v>1531</v>
      </c>
      <c r="G62" t="s">
        <v>1532</v>
      </c>
      <c r="H62" t="s">
        <v>668</v>
      </c>
      <c r="I62" t="s">
        <v>1533</v>
      </c>
      <c r="J62" t="s">
        <v>870</v>
      </c>
      <c r="K62" t="s">
        <v>671</v>
      </c>
      <c r="L62" t="s">
        <v>672</v>
      </c>
      <c r="M62" t="s">
        <v>673</v>
      </c>
      <c r="N62" s="1">
        <v>45097</v>
      </c>
      <c r="O62" t="s">
        <v>806</v>
      </c>
      <c r="P62">
        <v>412</v>
      </c>
      <c r="Q62">
        <v>91</v>
      </c>
      <c r="R62">
        <v>31</v>
      </c>
      <c r="S62">
        <v>11</v>
      </c>
      <c r="T62">
        <v>679</v>
      </c>
      <c r="U62">
        <v>486</v>
      </c>
      <c r="V62" s="1">
        <v>8099</v>
      </c>
      <c r="W62" s="1">
        <v>1205</v>
      </c>
      <c r="Z62" t="s">
        <v>1534</v>
      </c>
      <c r="AA62" t="s">
        <v>1273</v>
      </c>
      <c r="AB62">
        <v>27536</v>
      </c>
      <c r="AC62">
        <v>4211</v>
      </c>
      <c r="AD62" t="s">
        <v>1534</v>
      </c>
      <c r="AE62" t="s">
        <v>1273</v>
      </c>
      <c r="AF62">
        <v>27536</v>
      </c>
      <c r="AG62">
        <v>1</v>
      </c>
      <c r="AH62" t="s">
        <v>1535</v>
      </c>
      <c r="AJ62" t="s">
        <v>35</v>
      </c>
      <c r="AK62" t="s">
        <v>1536</v>
      </c>
      <c r="AL62" t="s">
        <v>1537</v>
      </c>
      <c r="AM62">
        <v>2524383316</v>
      </c>
      <c r="AN62" t="s">
        <v>1538</v>
      </c>
      <c r="AO62" t="s">
        <v>1539</v>
      </c>
      <c r="AP62" t="s">
        <v>1537</v>
      </c>
      <c r="AQ62" t="s">
        <v>36</v>
      </c>
      <c r="AR62" t="s">
        <v>1540</v>
      </c>
      <c r="AS62" t="s">
        <v>1538</v>
      </c>
      <c r="AT62" t="s">
        <v>1539</v>
      </c>
      <c r="AU62" t="s">
        <v>1541</v>
      </c>
      <c r="BC62">
        <v>1</v>
      </c>
      <c r="BD62">
        <v>0</v>
      </c>
      <c r="BE62">
        <v>0</v>
      </c>
      <c r="BF62">
        <v>0</v>
      </c>
      <c r="BG62">
        <v>1</v>
      </c>
      <c r="BI62" s="1">
        <v>2500</v>
      </c>
      <c r="BJ62">
        <v>3</v>
      </c>
      <c r="BK62">
        <v>0</v>
      </c>
      <c r="BL62">
        <v>3</v>
      </c>
      <c r="BM62">
        <v>12</v>
      </c>
      <c r="BN62">
        <v>15</v>
      </c>
      <c r="BO62" s="3">
        <v>0.2</v>
      </c>
      <c r="BQ62" s="4">
        <v>64200</v>
      </c>
      <c r="BT62" s="1">
        <v>43308</v>
      </c>
      <c r="BY62" s="4">
        <v>36324</v>
      </c>
      <c r="BZ62" s="4">
        <v>58104</v>
      </c>
      <c r="CA62" s="4">
        <v>39108</v>
      </c>
      <c r="CK62" s="4">
        <v>31824</v>
      </c>
      <c r="CL62" s="4">
        <v>50928</v>
      </c>
      <c r="CM62" s="1">
        <v>33144</v>
      </c>
      <c r="DO62" s="4">
        <v>24684</v>
      </c>
      <c r="DP62" s="4">
        <v>39480</v>
      </c>
      <c r="DQ62" s="4">
        <v>30188</v>
      </c>
      <c r="DS62" s="4">
        <v>41448</v>
      </c>
      <c r="DT62" s="4">
        <v>66312</v>
      </c>
      <c r="DU62" s="4">
        <v>42612</v>
      </c>
      <c r="DV62" s="4">
        <v>187400</v>
      </c>
      <c r="DW62" s="4">
        <v>562200</v>
      </c>
      <c r="DX62" s="4">
        <v>749600</v>
      </c>
      <c r="DY62" s="4">
        <v>105090</v>
      </c>
      <c r="DZ62" s="4">
        <v>0</v>
      </c>
      <c r="EA62" s="4">
        <v>105090</v>
      </c>
      <c r="EB62" s="4">
        <v>0</v>
      </c>
      <c r="EC62" s="4">
        <v>0</v>
      </c>
      <c r="ED62" s="4">
        <v>0</v>
      </c>
      <c r="EE62" s="4">
        <v>91515</v>
      </c>
      <c r="EF62" s="4">
        <v>946205</v>
      </c>
      <c r="EG62" s="4">
        <v>418442</v>
      </c>
      <c r="EH62" s="4">
        <v>153191</v>
      </c>
      <c r="EI62" s="4">
        <v>571633</v>
      </c>
      <c r="EJ62" s="4">
        <v>48000</v>
      </c>
      <c r="EK62" s="4">
        <v>12000</v>
      </c>
      <c r="EL62" s="4">
        <v>10000</v>
      </c>
      <c r="EM62" s="4">
        <v>70000</v>
      </c>
      <c r="EN62" s="4">
        <v>284000</v>
      </c>
      <c r="EO62" s="4">
        <v>925633</v>
      </c>
      <c r="EP62" s="4">
        <v>20572</v>
      </c>
      <c r="EQ62" s="3">
        <v>2.1700000000000001E-2</v>
      </c>
      <c r="ER62" s="4">
        <v>0</v>
      </c>
      <c r="ES62" s="4">
        <v>0</v>
      </c>
      <c r="ET62" s="4">
        <v>0</v>
      </c>
      <c r="EU62" s="4">
        <v>0</v>
      </c>
      <c r="EV62" s="4">
        <v>0</v>
      </c>
      <c r="EW62" s="4">
        <v>0</v>
      </c>
      <c r="EX62" s="1">
        <v>8890</v>
      </c>
      <c r="EY62" s="1">
        <v>175562</v>
      </c>
      <c r="EZ62" s="1">
        <v>19247</v>
      </c>
      <c r="FA62" s="1">
        <v>3313</v>
      </c>
      <c r="FB62" s="1">
        <v>13139</v>
      </c>
      <c r="FC62" s="1">
        <v>35495</v>
      </c>
      <c r="FD62">
        <v>146</v>
      </c>
      <c r="FE62" s="1">
        <v>13770</v>
      </c>
      <c r="FF62" s="1">
        <v>54742</v>
      </c>
      <c r="FG62" s="1">
        <v>3459</v>
      </c>
      <c r="FH62" s="1">
        <v>26909</v>
      </c>
      <c r="FI62" s="1">
        <v>85110</v>
      </c>
      <c r="FJ62">
        <v>0</v>
      </c>
      <c r="FK62">
        <v>31</v>
      </c>
      <c r="FM62" s="1">
        <v>85110</v>
      </c>
      <c r="FN62" s="1">
        <v>2281</v>
      </c>
      <c r="FO62" s="1">
        <v>1350</v>
      </c>
      <c r="FP62">
        <v>52</v>
      </c>
      <c r="FQ62">
        <v>7</v>
      </c>
      <c r="FR62">
        <v>88</v>
      </c>
      <c r="FS62">
        <v>95</v>
      </c>
      <c r="FT62" s="1">
        <v>44141</v>
      </c>
      <c r="FU62" s="1">
        <v>3505</v>
      </c>
      <c r="FV62">
        <v>0</v>
      </c>
      <c r="FW62">
        <v>0</v>
      </c>
      <c r="FX62" s="1">
        <v>8544</v>
      </c>
      <c r="FY62" s="1">
        <v>1573</v>
      </c>
      <c r="FZ62">
        <v>322</v>
      </c>
      <c r="GA62">
        <v>0</v>
      </c>
      <c r="GB62" s="1">
        <v>26436</v>
      </c>
      <c r="GC62" s="1">
        <v>1747</v>
      </c>
      <c r="GD62">
        <v>278</v>
      </c>
      <c r="GE62">
        <v>0</v>
      </c>
      <c r="GJ62">
        <v>75</v>
      </c>
      <c r="GK62">
        <v>7</v>
      </c>
      <c r="GL62">
        <v>0</v>
      </c>
      <c r="GM62">
        <v>15</v>
      </c>
      <c r="GN62" s="1">
        <v>79196</v>
      </c>
      <c r="GO62" s="1">
        <v>6832</v>
      </c>
      <c r="GP62">
        <v>600</v>
      </c>
      <c r="GQ62">
        <v>15</v>
      </c>
      <c r="GR62">
        <v>11</v>
      </c>
      <c r="GT62" s="1">
        <v>21849</v>
      </c>
      <c r="GU62" s="1">
        <v>4208</v>
      </c>
      <c r="GV62" s="1">
        <v>28357</v>
      </c>
      <c r="GW62" s="1">
        <v>8275</v>
      </c>
      <c r="GX62">
        <v>47</v>
      </c>
      <c r="GY62" s="1">
        <v>5847</v>
      </c>
      <c r="GZ62" s="1">
        <v>30124</v>
      </c>
      <c r="HA62" s="1">
        <v>4255</v>
      </c>
      <c r="HB62" s="1">
        <v>34204</v>
      </c>
      <c r="HC62" s="1">
        <v>68583</v>
      </c>
      <c r="HD62">
        <v>672</v>
      </c>
      <c r="HE62" s="1">
        <v>69255</v>
      </c>
      <c r="HF62" s="1">
        <v>3394</v>
      </c>
      <c r="HG62" s="1">
        <v>3184</v>
      </c>
      <c r="HJ62" s="1">
        <v>6578</v>
      </c>
      <c r="HK62" s="1">
        <v>75833</v>
      </c>
      <c r="HL62">
        <v>150</v>
      </c>
      <c r="HM62" s="1">
        <v>3973</v>
      </c>
      <c r="HN62" s="1">
        <v>4123</v>
      </c>
      <c r="HO62">
        <v>17</v>
      </c>
      <c r="HP62">
        <v>730</v>
      </c>
      <c r="HQ62">
        <v>747</v>
      </c>
      <c r="HR62">
        <v>0</v>
      </c>
      <c r="HS62">
        <v>14</v>
      </c>
      <c r="HT62">
        <v>14</v>
      </c>
      <c r="HU62">
        <v>33</v>
      </c>
      <c r="HV62" s="1">
        <v>4917</v>
      </c>
      <c r="HW62" s="1">
        <v>8834</v>
      </c>
      <c r="HY62" s="1">
        <v>8834</v>
      </c>
      <c r="HZ62" s="1">
        <v>13751</v>
      </c>
      <c r="IA62" s="1">
        <v>4141</v>
      </c>
      <c r="IB62" s="1">
        <v>7339</v>
      </c>
      <c r="IC62" s="1">
        <v>80750</v>
      </c>
      <c r="ID62" s="1">
        <v>80750</v>
      </c>
      <c r="IE62" s="1">
        <v>89584</v>
      </c>
      <c r="IF62" s="1">
        <v>38902</v>
      </c>
      <c r="IG62">
        <v>668</v>
      </c>
      <c r="IJ62">
        <v>1</v>
      </c>
      <c r="IK62" s="3">
        <v>1.11E-2</v>
      </c>
      <c r="IL62" s="3">
        <v>2.0000000000000001E-4</v>
      </c>
      <c r="IM62" s="3">
        <v>0.49349999999999999</v>
      </c>
      <c r="IN62" s="3">
        <v>0</v>
      </c>
      <c r="IO62" s="3">
        <v>0.4511</v>
      </c>
      <c r="IP62" s="3">
        <v>5.0000000000000001E-4</v>
      </c>
      <c r="IQ62" s="3">
        <v>0.48480000000000001</v>
      </c>
      <c r="IR62" s="3">
        <v>5.1900000000000002E-2</v>
      </c>
      <c r="IS62" s="3">
        <v>0.48180000000000001</v>
      </c>
      <c r="IT62" s="1">
        <v>28727</v>
      </c>
      <c r="IU62" s="1">
        <v>3936</v>
      </c>
      <c r="IV62" s="1">
        <v>32663</v>
      </c>
      <c r="IW62" s="3">
        <v>0.72430000000000005</v>
      </c>
      <c r="IX62" s="1">
        <v>178000</v>
      </c>
      <c r="IZ62">
        <v>30</v>
      </c>
      <c r="JA62">
        <v>40</v>
      </c>
      <c r="JB62">
        <v>100</v>
      </c>
      <c r="JC62">
        <v>0</v>
      </c>
      <c r="JD62">
        <v>0</v>
      </c>
      <c r="JE62">
        <v>0</v>
      </c>
      <c r="JF62">
        <v>30</v>
      </c>
      <c r="JG62">
        <v>40</v>
      </c>
      <c r="JH62">
        <v>100</v>
      </c>
      <c r="JI62">
        <v>170</v>
      </c>
      <c r="JJ62">
        <v>170</v>
      </c>
      <c r="JK62">
        <v>0</v>
      </c>
      <c r="JL62">
        <v>900</v>
      </c>
      <c r="JM62">
        <v>150</v>
      </c>
      <c r="JN62" s="1">
        <v>2150</v>
      </c>
      <c r="JO62">
        <v>0</v>
      </c>
      <c r="JP62">
        <v>0</v>
      </c>
      <c r="JQ62">
        <v>0</v>
      </c>
      <c r="JR62">
        <v>900</v>
      </c>
      <c r="JS62">
        <v>150</v>
      </c>
      <c r="JT62" s="1">
        <v>2150</v>
      </c>
      <c r="JU62" s="1">
        <v>3200</v>
      </c>
      <c r="JV62" s="1">
        <v>3200</v>
      </c>
      <c r="JW62">
        <v>0</v>
      </c>
      <c r="JX62">
        <v>18.82</v>
      </c>
      <c r="JY62">
        <v>30</v>
      </c>
      <c r="JZ62">
        <v>21.5</v>
      </c>
      <c r="KA62">
        <v>0.28000000000000003</v>
      </c>
      <c r="KB62">
        <v>0.67</v>
      </c>
      <c r="KC62">
        <v>5</v>
      </c>
      <c r="KD62">
        <v>30</v>
      </c>
      <c r="KE62">
        <v>31</v>
      </c>
      <c r="KF62">
        <v>31</v>
      </c>
      <c r="KM62" s="1">
        <v>15650</v>
      </c>
      <c r="KN62" s="1">
        <v>11600</v>
      </c>
      <c r="KO62">
        <v>890</v>
      </c>
      <c r="KQ62">
        <v>211</v>
      </c>
      <c r="KR62" s="1">
        <v>7500</v>
      </c>
      <c r="KS62">
        <v>83</v>
      </c>
      <c r="KT62">
        <v>156</v>
      </c>
      <c r="KU62">
        <v>21</v>
      </c>
      <c r="KV62">
        <v>35</v>
      </c>
      <c r="KW62" s="1">
        <v>38500</v>
      </c>
      <c r="KY62" s="1">
        <v>105365</v>
      </c>
      <c r="LC62" t="s">
        <v>1542</v>
      </c>
      <c r="LD62" t="s">
        <v>689</v>
      </c>
      <c r="LE62" t="s">
        <v>1534</v>
      </c>
      <c r="LF62" t="s">
        <v>1273</v>
      </c>
      <c r="LG62">
        <v>27536</v>
      </c>
      <c r="LH62">
        <v>4211</v>
      </c>
      <c r="LI62" t="s">
        <v>1534</v>
      </c>
      <c r="LJ62" t="s">
        <v>1273</v>
      </c>
      <c r="LK62">
        <v>27536</v>
      </c>
      <c r="LL62">
        <v>4211</v>
      </c>
      <c r="LM62" t="s">
        <v>1536</v>
      </c>
      <c r="LN62">
        <v>2524383316</v>
      </c>
      <c r="LO62">
        <v>2524383744</v>
      </c>
      <c r="LP62" s="1">
        <v>38000</v>
      </c>
      <c r="LQ62">
        <v>15</v>
      </c>
      <c r="LS62" s="1">
        <v>2500</v>
      </c>
      <c r="LT62">
        <v>52</v>
      </c>
      <c r="LW62">
        <v>2</v>
      </c>
      <c r="LX62" t="s">
        <v>1543</v>
      </c>
      <c r="LY62">
        <v>0</v>
      </c>
      <c r="LZ62" t="s">
        <v>691</v>
      </c>
      <c r="MA62">
        <v>6.1</v>
      </c>
      <c r="MB62">
        <v>60.5</v>
      </c>
    </row>
    <row r="63" spans="1:340" x14ac:dyDescent="0.25">
      <c r="A63" t="s">
        <v>1544</v>
      </c>
      <c r="B63">
        <v>0</v>
      </c>
      <c r="C63">
        <v>1375</v>
      </c>
      <c r="D63">
        <v>2017</v>
      </c>
      <c r="E63">
        <v>0</v>
      </c>
      <c r="F63" t="s">
        <v>1544</v>
      </c>
      <c r="G63" t="s">
        <v>1545</v>
      </c>
      <c r="H63" t="s">
        <v>668</v>
      </c>
      <c r="I63" t="s">
        <v>1367</v>
      </c>
      <c r="J63" t="s">
        <v>870</v>
      </c>
      <c r="K63" t="s">
        <v>671</v>
      </c>
      <c r="L63" t="s">
        <v>672</v>
      </c>
      <c r="M63" t="s">
        <v>673</v>
      </c>
      <c r="N63" s="1">
        <v>39132</v>
      </c>
      <c r="O63" t="s">
        <v>674</v>
      </c>
      <c r="P63">
        <v>217</v>
      </c>
      <c r="Q63">
        <v>31</v>
      </c>
      <c r="R63">
        <v>37</v>
      </c>
      <c r="S63">
        <v>4</v>
      </c>
      <c r="T63">
        <v>992</v>
      </c>
      <c r="U63">
        <v>11</v>
      </c>
      <c r="V63" s="1">
        <v>18645</v>
      </c>
      <c r="W63">
        <v>864</v>
      </c>
      <c r="X63" s="1">
        <v>420440</v>
      </c>
      <c r="Y63" s="1">
        <v>63480</v>
      </c>
      <c r="Z63" t="s">
        <v>1546</v>
      </c>
      <c r="AA63" t="s">
        <v>1547</v>
      </c>
      <c r="AB63">
        <v>27573</v>
      </c>
      <c r="AD63" t="s">
        <v>1546</v>
      </c>
      <c r="AE63" t="s">
        <v>1547</v>
      </c>
      <c r="AF63">
        <v>27573</v>
      </c>
      <c r="AG63">
        <v>1</v>
      </c>
      <c r="AH63" t="s">
        <v>1548</v>
      </c>
      <c r="AJ63" t="s">
        <v>35</v>
      </c>
      <c r="AK63" t="s">
        <v>1549</v>
      </c>
      <c r="AL63" t="s">
        <v>1550</v>
      </c>
      <c r="AM63" t="s">
        <v>1551</v>
      </c>
      <c r="AN63" t="s">
        <v>1552</v>
      </c>
      <c r="AO63" t="s">
        <v>1553</v>
      </c>
      <c r="AP63" t="s">
        <v>1554</v>
      </c>
      <c r="AQ63" t="s">
        <v>36</v>
      </c>
      <c r="AR63" t="s">
        <v>1551</v>
      </c>
      <c r="AS63" t="s">
        <v>1552</v>
      </c>
      <c r="AT63" t="s">
        <v>1553</v>
      </c>
      <c r="AU63" t="s">
        <v>1555</v>
      </c>
      <c r="BC63">
        <v>1</v>
      </c>
      <c r="BD63">
        <v>0</v>
      </c>
      <c r="BE63">
        <v>0</v>
      </c>
      <c r="BF63">
        <v>1</v>
      </c>
      <c r="BG63">
        <v>2</v>
      </c>
      <c r="BI63" s="1">
        <v>3020</v>
      </c>
      <c r="BJ63">
        <v>4</v>
      </c>
      <c r="BK63">
        <v>0</v>
      </c>
      <c r="BL63">
        <v>4</v>
      </c>
      <c r="BM63">
        <v>3</v>
      </c>
      <c r="BN63">
        <v>7</v>
      </c>
      <c r="BO63" s="3">
        <v>0.57140000000000002</v>
      </c>
      <c r="BP63">
        <v>561</v>
      </c>
      <c r="BQ63" s="4">
        <v>61169</v>
      </c>
      <c r="BT63" s="1">
        <v>42221</v>
      </c>
      <c r="CR63" s="4">
        <v>36045</v>
      </c>
      <c r="CS63" s="4">
        <v>55869</v>
      </c>
      <c r="CT63" s="4">
        <v>40017</v>
      </c>
      <c r="CV63" s="4">
        <v>36045</v>
      </c>
      <c r="CW63" s="4">
        <v>55869</v>
      </c>
      <c r="CX63" s="4">
        <v>40017</v>
      </c>
      <c r="CZ63" s="4">
        <v>30966</v>
      </c>
      <c r="DA63" s="4">
        <v>45708</v>
      </c>
      <c r="DB63" s="4">
        <v>35170</v>
      </c>
      <c r="DH63" s="4">
        <v>29738</v>
      </c>
      <c r="DI63" s="4">
        <v>43895</v>
      </c>
      <c r="DJ63" s="4">
        <v>32204</v>
      </c>
      <c r="DK63" s="4">
        <v>27437</v>
      </c>
      <c r="DL63" s="4">
        <v>40502</v>
      </c>
      <c r="DM63" s="4">
        <v>27991</v>
      </c>
      <c r="DV63" s="4">
        <v>0</v>
      </c>
      <c r="DW63" s="4">
        <v>437419</v>
      </c>
      <c r="DX63" s="4">
        <v>437419</v>
      </c>
      <c r="DY63" s="4">
        <v>95881</v>
      </c>
      <c r="DZ63" s="4">
        <v>0</v>
      </c>
      <c r="EA63" s="4">
        <v>95881</v>
      </c>
      <c r="EB63" s="4">
        <v>0</v>
      </c>
      <c r="EC63" s="4">
        <v>0</v>
      </c>
      <c r="ED63" s="4">
        <v>0</v>
      </c>
      <c r="EE63" s="4">
        <v>0</v>
      </c>
      <c r="EF63" s="4">
        <v>533300</v>
      </c>
      <c r="EG63" s="4">
        <v>302276</v>
      </c>
      <c r="EH63" s="4">
        <v>117954</v>
      </c>
      <c r="EI63" s="4">
        <v>420230</v>
      </c>
      <c r="EJ63" s="4">
        <v>72594</v>
      </c>
      <c r="EK63" s="4">
        <v>7800</v>
      </c>
      <c r="EL63" s="4">
        <v>1777</v>
      </c>
      <c r="EM63" s="4">
        <v>82171</v>
      </c>
      <c r="EN63" s="4">
        <v>45156</v>
      </c>
      <c r="EO63" s="4">
        <v>547557</v>
      </c>
      <c r="EP63" s="4">
        <v>-14257</v>
      </c>
      <c r="EQ63" s="3">
        <v>-2.6700000000000002E-2</v>
      </c>
      <c r="ER63" s="4">
        <v>0</v>
      </c>
      <c r="ES63" s="4">
        <v>0</v>
      </c>
      <c r="ET63" s="4">
        <v>0</v>
      </c>
      <c r="EU63" s="4">
        <v>0</v>
      </c>
      <c r="EV63" s="4">
        <v>0</v>
      </c>
      <c r="EW63" s="4">
        <v>0</v>
      </c>
      <c r="EX63" s="1">
        <v>14306</v>
      </c>
      <c r="EY63" s="1">
        <v>165148</v>
      </c>
      <c r="EZ63" s="1">
        <v>24978</v>
      </c>
      <c r="FA63" s="1">
        <v>2541</v>
      </c>
      <c r="FB63" s="1">
        <v>18969</v>
      </c>
      <c r="FC63" s="1">
        <v>12459</v>
      </c>
      <c r="FD63">
        <v>688</v>
      </c>
      <c r="FE63" s="1">
        <v>8400</v>
      </c>
      <c r="FF63" s="1">
        <v>37437</v>
      </c>
      <c r="FG63" s="1">
        <v>3229</v>
      </c>
      <c r="FH63" s="1">
        <v>27369</v>
      </c>
      <c r="FI63" s="1">
        <v>68035</v>
      </c>
      <c r="FJ63">
        <v>86</v>
      </c>
      <c r="FK63">
        <v>99</v>
      </c>
      <c r="FM63" s="1">
        <v>68035</v>
      </c>
      <c r="FN63" s="1">
        <v>2861</v>
      </c>
      <c r="FO63" s="1">
        <v>1843</v>
      </c>
      <c r="FP63" s="1">
        <v>1100</v>
      </c>
      <c r="FQ63">
        <v>8</v>
      </c>
      <c r="FR63">
        <v>88</v>
      </c>
      <c r="FS63">
        <v>96</v>
      </c>
      <c r="FT63" s="1">
        <v>44141</v>
      </c>
      <c r="FU63" s="1">
        <v>3505</v>
      </c>
      <c r="FV63">
        <v>0</v>
      </c>
      <c r="FW63">
        <v>0</v>
      </c>
      <c r="FX63" s="1">
        <v>8544</v>
      </c>
      <c r="FY63" s="1">
        <v>1573</v>
      </c>
      <c r="FZ63">
        <v>322</v>
      </c>
      <c r="GA63">
        <v>0</v>
      </c>
      <c r="GB63" s="1">
        <v>26436</v>
      </c>
      <c r="GC63" s="1">
        <v>1747</v>
      </c>
      <c r="GD63">
        <v>278</v>
      </c>
      <c r="GE63">
        <v>0</v>
      </c>
      <c r="GJ63">
        <v>82</v>
      </c>
      <c r="GK63" s="1">
        <v>4350</v>
      </c>
      <c r="GL63">
        <v>0</v>
      </c>
      <c r="GM63">
        <v>50</v>
      </c>
      <c r="GN63" s="1">
        <v>79203</v>
      </c>
      <c r="GO63" s="1">
        <v>11175</v>
      </c>
      <c r="GP63">
        <v>600</v>
      </c>
      <c r="GQ63">
        <v>50</v>
      </c>
      <c r="GR63">
        <v>22</v>
      </c>
      <c r="GT63" s="1">
        <v>41570</v>
      </c>
      <c r="GU63" s="1">
        <v>2573</v>
      </c>
      <c r="GV63" s="1">
        <v>65610</v>
      </c>
      <c r="GW63" s="1">
        <v>7406</v>
      </c>
      <c r="GX63">
        <v>464</v>
      </c>
      <c r="GY63" s="1">
        <v>13353</v>
      </c>
      <c r="GZ63" s="1">
        <v>48976</v>
      </c>
      <c r="HA63" s="1">
        <v>3037</v>
      </c>
      <c r="HB63" s="1">
        <v>78963</v>
      </c>
      <c r="HC63" s="1">
        <v>130976</v>
      </c>
      <c r="HD63" s="1">
        <v>3626</v>
      </c>
      <c r="HE63" s="1">
        <v>139771</v>
      </c>
      <c r="HF63" s="1">
        <v>4338</v>
      </c>
      <c r="HG63" s="1">
        <v>10345</v>
      </c>
      <c r="HH63" s="1">
        <v>5169</v>
      </c>
      <c r="HI63" s="1">
        <v>28348</v>
      </c>
      <c r="HJ63" s="1">
        <v>43031</v>
      </c>
      <c r="HK63" s="1">
        <v>182802</v>
      </c>
      <c r="HL63">
        <v>24</v>
      </c>
      <c r="HM63" s="1">
        <v>6666</v>
      </c>
      <c r="HN63" s="1">
        <v>6690</v>
      </c>
      <c r="HO63">
        <v>161</v>
      </c>
      <c r="HP63" s="1">
        <v>1321</v>
      </c>
      <c r="HQ63" s="1">
        <v>1482</v>
      </c>
      <c r="HR63">
        <v>0</v>
      </c>
      <c r="HS63">
        <v>13</v>
      </c>
      <c r="HT63">
        <v>13</v>
      </c>
      <c r="HU63">
        <v>183</v>
      </c>
      <c r="HV63" s="1">
        <v>8368</v>
      </c>
      <c r="HW63">
        <v>993</v>
      </c>
      <c r="HX63">
        <v>0</v>
      </c>
      <c r="HY63">
        <v>993</v>
      </c>
      <c r="HZ63" s="1">
        <v>9361</v>
      </c>
      <c r="IA63" s="1">
        <v>5820</v>
      </c>
      <c r="IB63" s="1">
        <v>16178</v>
      </c>
      <c r="IC63" s="1">
        <v>191170</v>
      </c>
      <c r="ID63" s="1">
        <v>191170</v>
      </c>
      <c r="IE63" s="1">
        <v>192163</v>
      </c>
      <c r="IF63" s="1">
        <v>83099</v>
      </c>
      <c r="IG63">
        <v>14</v>
      </c>
      <c r="IJ63">
        <v>1</v>
      </c>
      <c r="IK63" s="3">
        <v>1.4800000000000001E-2</v>
      </c>
      <c r="IL63" s="3">
        <v>5.9999999999999995E-4</v>
      </c>
      <c r="IM63" s="3">
        <v>0.55120000000000002</v>
      </c>
      <c r="IN63" s="3">
        <v>0</v>
      </c>
      <c r="IO63" s="3">
        <v>0.47960000000000003</v>
      </c>
      <c r="IP63" s="3">
        <v>5.9999999999999995E-4</v>
      </c>
      <c r="IQ63" s="3">
        <v>0.41199999999999998</v>
      </c>
      <c r="IR63" s="3">
        <v>8.5000000000000006E-2</v>
      </c>
      <c r="IS63" s="3">
        <v>0.43469999999999998</v>
      </c>
      <c r="IT63" s="1">
        <v>25639</v>
      </c>
      <c r="IU63" s="1">
        <v>7194</v>
      </c>
      <c r="IV63" s="1">
        <v>32833</v>
      </c>
      <c r="IW63" s="3">
        <v>0.83899999999999997</v>
      </c>
      <c r="IX63" s="1">
        <v>107341</v>
      </c>
      <c r="IZ63">
        <v>116</v>
      </c>
      <c r="JA63">
        <v>20</v>
      </c>
      <c r="JB63">
        <v>122</v>
      </c>
      <c r="JC63">
        <v>40</v>
      </c>
      <c r="JD63">
        <v>3</v>
      </c>
      <c r="JE63">
        <v>105</v>
      </c>
      <c r="JF63">
        <v>156</v>
      </c>
      <c r="JG63">
        <v>23</v>
      </c>
      <c r="JH63">
        <v>227</v>
      </c>
      <c r="JI63">
        <v>406</v>
      </c>
      <c r="JJ63">
        <v>258</v>
      </c>
      <c r="JK63">
        <v>148</v>
      </c>
      <c r="JL63">
        <v>743</v>
      </c>
      <c r="JM63">
        <v>142</v>
      </c>
      <c r="JN63" s="1">
        <v>2718</v>
      </c>
      <c r="JO63" s="1">
        <v>1221</v>
      </c>
      <c r="JP63">
        <v>96</v>
      </c>
      <c r="JQ63" s="1">
        <v>2838</v>
      </c>
      <c r="JR63" s="1">
        <v>1964</v>
      </c>
      <c r="JS63">
        <v>238</v>
      </c>
      <c r="JT63" s="1">
        <v>5556</v>
      </c>
      <c r="JU63" s="1">
        <v>7758</v>
      </c>
      <c r="JV63" s="1">
        <v>3603</v>
      </c>
      <c r="JW63" s="1">
        <v>4155</v>
      </c>
      <c r="JX63">
        <v>19.11</v>
      </c>
      <c r="JY63">
        <v>12.59</v>
      </c>
      <c r="JZ63">
        <v>24.48</v>
      </c>
      <c r="KA63">
        <v>0.25</v>
      </c>
      <c r="KB63">
        <v>0.72</v>
      </c>
      <c r="KC63">
        <v>1</v>
      </c>
      <c r="KD63">
        <v>1</v>
      </c>
      <c r="KE63">
        <v>41</v>
      </c>
      <c r="KF63">
        <v>170</v>
      </c>
      <c r="KG63">
        <v>243</v>
      </c>
      <c r="KH63" s="1">
        <v>5814</v>
      </c>
      <c r="KI63">
        <v>1</v>
      </c>
      <c r="KJ63">
        <v>3</v>
      </c>
      <c r="KK63">
        <v>7</v>
      </c>
      <c r="KL63">
        <v>258</v>
      </c>
      <c r="KM63" s="1">
        <v>8341</v>
      </c>
      <c r="KN63" s="1">
        <v>2346</v>
      </c>
      <c r="KO63">
        <v>323</v>
      </c>
      <c r="KQ63">
        <v>274</v>
      </c>
      <c r="KR63" s="1">
        <v>3359</v>
      </c>
      <c r="KS63">
        <v>8</v>
      </c>
      <c r="KT63">
        <v>74</v>
      </c>
      <c r="KU63">
        <v>10</v>
      </c>
      <c r="KV63">
        <v>13</v>
      </c>
      <c r="KW63" s="1">
        <v>15463</v>
      </c>
      <c r="KY63" s="1">
        <v>15212</v>
      </c>
      <c r="KZ63" s="1">
        <v>8696</v>
      </c>
      <c r="LC63" t="s">
        <v>1548</v>
      </c>
      <c r="LD63" t="s">
        <v>709</v>
      </c>
      <c r="LE63" t="s">
        <v>1556</v>
      </c>
      <c r="LF63" t="s">
        <v>1547</v>
      </c>
      <c r="LG63">
        <v>27573</v>
      </c>
      <c r="LH63">
        <v>5525</v>
      </c>
      <c r="LI63" t="s">
        <v>1546</v>
      </c>
      <c r="LJ63" t="s">
        <v>1547</v>
      </c>
      <c r="LK63">
        <v>27573</v>
      </c>
      <c r="LL63">
        <v>5525</v>
      </c>
      <c r="LM63" t="s">
        <v>1549</v>
      </c>
      <c r="LN63">
        <v>3365977881</v>
      </c>
      <c r="LO63">
        <v>3365975081</v>
      </c>
      <c r="LP63" s="1">
        <v>12700</v>
      </c>
      <c r="LQ63">
        <v>7</v>
      </c>
      <c r="LS63" s="1">
        <v>3020</v>
      </c>
      <c r="LT63">
        <v>52</v>
      </c>
      <c r="LW63">
        <v>1</v>
      </c>
      <c r="LX63" t="s">
        <v>1557</v>
      </c>
      <c r="LY63">
        <v>0</v>
      </c>
      <c r="LZ63" t="s">
        <v>691</v>
      </c>
      <c r="MA63">
        <v>929.4</v>
      </c>
      <c r="MB63">
        <v>380.44</v>
      </c>
    </row>
    <row r="64" spans="1:340" x14ac:dyDescent="0.25">
      <c r="A64" t="s">
        <v>1558</v>
      </c>
      <c r="B64">
        <v>0</v>
      </c>
      <c r="C64">
        <v>1375</v>
      </c>
      <c r="D64">
        <v>2017</v>
      </c>
      <c r="E64">
        <v>0</v>
      </c>
      <c r="F64" t="s">
        <v>1558</v>
      </c>
      <c r="G64" t="s">
        <v>1559</v>
      </c>
      <c r="H64" t="s">
        <v>668</v>
      </c>
      <c r="I64" t="s">
        <v>694</v>
      </c>
      <c r="J64" t="s">
        <v>725</v>
      </c>
      <c r="K64" t="s">
        <v>671</v>
      </c>
      <c r="L64" t="s">
        <v>695</v>
      </c>
      <c r="M64" t="s">
        <v>673</v>
      </c>
      <c r="N64" s="1">
        <v>44995</v>
      </c>
      <c r="O64" t="s">
        <v>674</v>
      </c>
      <c r="P64">
        <v>251</v>
      </c>
      <c r="Q64">
        <v>47</v>
      </c>
      <c r="R64">
        <v>74</v>
      </c>
      <c r="S64">
        <v>39</v>
      </c>
      <c r="T64" s="1">
        <v>1981</v>
      </c>
      <c r="U64">
        <v>479</v>
      </c>
      <c r="V64" s="1">
        <v>6551</v>
      </c>
      <c r="W64">
        <v>234</v>
      </c>
      <c r="X64" s="1">
        <v>2207</v>
      </c>
      <c r="Y64" s="1">
        <v>12655</v>
      </c>
      <c r="Z64" t="s">
        <v>1560</v>
      </c>
      <c r="AA64" t="s">
        <v>1561</v>
      </c>
      <c r="AB64">
        <v>27962</v>
      </c>
      <c r="AC64">
        <v>906</v>
      </c>
      <c r="AD64" t="s">
        <v>1560</v>
      </c>
      <c r="AE64" t="s">
        <v>1561</v>
      </c>
      <c r="AF64">
        <v>27962</v>
      </c>
      <c r="AG64">
        <v>1</v>
      </c>
      <c r="AH64" t="s">
        <v>1562</v>
      </c>
      <c r="AJ64" t="s">
        <v>700</v>
      </c>
      <c r="AK64" t="s">
        <v>1563</v>
      </c>
      <c r="AL64" t="s">
        <v>1564</v>
      </c>
      <c r="AM64" t="s">
        <v>1565</v>
      </c>
      <c r="AN64" t="s">
        <v>1566</v>
      </c>
      <c r="AO64" t="s">
        <v>1567</v>
      </c>
      <c r="AP64" t="s">
        <v>1564</v>
      </c>
      <c r="AQ64" t="s">
        <v>706</v>
      </c>
      <c r="AR64" t="s">
        <v>1565</v>
      </c>
      <c r="AS64" t="s">
        <v>1566</v>
      </c>
      <c r="AT64" t="s">
        <v>1567</v>
      </c>
      <c r="AU64" t="s">
        <v>1568</v>
      </c>
      <c r="BC64">
        <v>0</v>
      </c>
      <c r="BD64">
        <v>4</v>
      </c>
      <c r="BE64">
        <v>0</v>
      </c>
      <c r="BF64">
        <v>1</v>
      </c>
      <c r="BG64">
        <v>5</v>
      </c>
      <c r="BI64" s="1">
        <v>9334</v>
      </c>
      <c r="BJ64">
        <v>3.5</v>
      </c>
      <c r="BK64">
        <v>0.88</v>
      </c>
      <c r="BL64">
        <v>4.38</v>
      </c>
      <c r="BM64">
        <v>3.94</v>
      </c>
      <c r="BN64">
        <v>8.32</v>
      </c>
      <c r="BO64" s="3">
        <v>0.42070000000000002</v>
      </c>
      <c r="BP64">
        <v>169</v>
      </c>
      <c r="BQ64" s="4">
        <v>61228</v>
      </c>
      <c r="BU64" s="4">
        <v>39269</v>
      </c>
      <c r="BV64" s="4">
        <v>45459</v>
      </c>
      <c r="BW64" s="4">
        <v>42829</v>
      </c>
      <c r="DO64" s="4">
        <v>25753</v>
      </c>
      <c r="DP64" s="4">
        <v>29994</v>
      </c>
      <c r="DQ64" s="4">
        <v>27494</v>
      </c>
      <c r="DV64" s="4">
        <v>0</v>
      </c>
      <c r="DW64" s="4">
        <v>651065</v>
      </c>
      <c r="DX64" s="4">
        <v>651065</v>
      </c>
      <c r="DY64" s="4">
        <v>354816</v>
      </c>
      <c r="DZ64" s="4">
        <v>0</v>
      </c>
      <c r="EA64" s="4">
        <v>354816</v>
      </c>
      <c r="EB64" s="4">
        <v>34008</v>
      </c>
      <c r="EC64" s="4">
        <v>0</v>
      </c>
      <c r="ED64" s="4">
        <v>34008</v>
      </c>
      <c r="EE64" s="4">
        <v>95674</v>
      </c>
      <c r="EF64" s="4">
        <v>1135563</v>
      </c>
      <c r="EG64" s="4">
        <v>617920</v>
      </c>
      <c r="EH64" s="4">
        <v>162231</v>
      </c>
      <c r="EI64" s="4">
        <v>780151</v>
      </c>
      <c r="EJ64" s="4">
        <v>70223</v>
      </c>
      <c r="EK64" s="4">
        <v>1156</v>
      </c>
      <c r="EL64" s="4">
        <v>8701</v>
      </c>
      <c r="EM64" s="4">
        <v>80080</v>
      </c>
      <c r="EN64" s="4">
        <v>257445</v>
      </c>
      <c r="EO64" s="4">
        <v>1117676</v>
      </c>
      <c r="EP64" s="4">
        <v>17887</v>
      </c>
      <c r="EQ64" s="3">
        <v>1.5800000000000002E-2</v>
      </c>
      <c r="ER64" s="4">
        <v>0</v>
      </c>
      <c r="ES64" s="4">
        <v>0</v>
      </c>
      <c r="ET64" s="4">
        <v>0</v>
      </c>
      <c r="EU64" s="4">
        <v>0</v>
      </c>
      <c r="EV64" s="4">
        <v>0</v>
      </c>
      <c r="EW64" s="4">
        <v>0</v>
      </c>
      <c r="EX64" s="1">
        <v>16340</v>
      </c>
      <c r="EY64" s="1">
        <v>221482</v>
      </c>
      <c r="EZ64" s="1">
        <v>48606</v>
      </c>
      <c r="FA64" s="1">
        <v>4155</v>
      </c>
      <c r="FB64" s="1">
        <v>24740</v>
      </c>
      <c r="FC64" s="1">
        <v>32231</v>
      </c>
      <c r="FD64">
        <v>207</v>
      </c>
      <c r="FE64" s="1">
        <v>11913</v>
      </c>
      <c r="FF64" s="1">
        <v>80837</v>
      </c>
      <c r="FG64" s="1">
        <v>4362</v>
      </c>
      <c r="FH64" s="1">
        <v>36653</v>
      </c>
      <c r="FI64" s="1">
        <v>121852</v>
      </c>
      <c r="FJ64">
        <v>448</v>
      </c>
      <c r="FK64">
        <v>162</v>
      </c>
      <c r="FM64" s="1">
        <v>121852</v>
      </c>
      <c r="FN64" s="1">
        <v>6073</v>
      </c>
      <c r="FO64" s="1">
        <v>5015</v>
      </c>
      <c r="FP64" s="1">
        <v>1254</v>
      </c>
      <c r="FQ64">
        <v>2</v>
      </c>
      <c r="FR64">
        <v>88</v>
      </c>
      <c r="FS64">
        <v>90</v>
      </c>
      <c r="FT64" s="1">
        <v>44141</v>
      </c>
      <c r="FU64" s="1">
        <v>3505</v>
      </c>
      <c r="FV64">
        <v>0</v>
      </c>
      <c r="FW64">
        <v>0</v>
      </c>
      <c r="FX64" s="1">
        <v>8544</v>
      </c>
      <c r="FY64" s="1">
        <v>1573</v>
      </c>
      <c r="FZ64">
        <v>322</v>
      </c>
      <c r="GA64">
        <v>0</v>
      </c>
      <c r="GB64" s="1">
        <v>26436</v>
      </c>
      <c r="GC64" s="1">
        <v>1747</v>
      </c>
      <c r="GD64">
        <v>278</v>
      </c>
      <c r="GE64">
        <v>42</v>
      </c>
      <c r="GJ64">
        <v>0</v>
      </c>
      <c r="GK64">
        <v>0</v>
      </c>
      <c r="GL64">
        <v>0</v>
      </c>
      <c r="GM64">
        <v>0</v>
      </c>
      <c r="GN64" s="1">
        <v>79121</v>
      </c>
      <c r="GO64" s="1">
        <v>6825</v>
      </c>
      <c r="GP64">
        <v>600</v>
      </c>
      <c r="GQ64">
        <v>42</v>
      </c>
      <c r="GR64">
        <v>53</v>
      </c>
      <c r="GT64" s="1">
        <v>38467</v>
      </c>
      <c r="GU64" s="1">
        <v>3426</v>
      </c>
      <c r="GV64" s="1">
        <v>30705</v>
      </c>
      <c r="GW64" s="1">
        <v>8968</v>
      </c>
      <c r="GX64">
        <v>55</v>
      </c>
      <c r="GY64" s="1">
        <v>5489</v>
      </c>
      <c r="GZ64" s="1">
        <v>47435</v>
      </c>
      <c r="HA64" s="1">
        <v>3481</v>
      </c>
      <c r="HB64" s="1">
        <v>36194</v>
      </c>
      <c r="HC64" s="1">
        <v>87110</v>
      </c>
      <c r="HD64" s="1">
        <v>1514</v>
      </c>
      <c r="HE64" s="1">
        <v>89245</v>
      </c>
      <c r="HF64" s="1">
        <v>7073</v>
      </c>
      <c r="HG64" s="1">
        <v>25380</v>
      </c>
      <c r="HH64">
        <v>621</v>
      </c>
      <c r="HI64" s="1">
        <v>1328</v>
      </c>
      <c r="HJ64" s="1">
        <v>33781</v>
      </c>
      <c r="HK64" s="1">
        <v>123026</v>
      </c>
      <c r="HL64">
        <v>28</v>
      </c>
      <c r="HM64" s="1">
        <v>11498</v>
      </c>
      <c r="HN64" s="1">
        <v>11526</v>
      </c>
      <c r="HO64">
        <v>26</v>
      </c>
      <c r="HP64" s="1">
        <v>1707</v>
      </c>
      <c r="HQ64" s="1">
        <v>1733</v>
      </c>
      <c r="HR64">
        <v>0</v>
      </c>
      <c r="HS64">
        <v>83</v>
      </c>
      <c r="HT64">
        <v>83</v>
      </c>
      <c r="HU64">
        <v>0</v>
      </c>
      <c r="HV64" s="1">
        <v>13342</v>
      </c>
      <c r="HW64" s="1">
        <v>2833</v>
      </c>
      <c r="HX64">
        <v>0</v>
      </c>
      <c r="HY64" s="1">
        <v>2833</v>
      </c>
      <c r="HZ64" s="1">
        <v>16175</v>
      </c>
      <c r="IA64" s="1">
        <v>8806</v>
      </c>
      <c r="IB64" s="1">
        <v>34269</v>
      </c>
      <c r="IC64" s="1">
        <v>136368</v>
      </c>
      <c r="ID64" s="1">
        <v>136368</v>
      </c>
      <c r="IE64" s="1">
        <v>139201</v>
      </c>
      <c r="IF64" s="1">
        <v>39495</v>
      </c>
      <c r="IG64">
        <v>49</v>
      </c>
      <c r="IJ64">
        <v>1</v>
      </c>
      <c r="IK64" s="3">
        <v>2.5399999999999999E-2</v>
      </c>
      <c r="IL64" s="3">
        <v>6.9999999999999999E-4</v>
      </c>
      <c r="IM64" s="3">
        <v>0.39090000000000003</v>
      </c>
      <c r="IN64" s="3">
        <v>0</v>
      </c>
      <c r="IO64" s="3">
        <v>0.35720000000000002</v>
      </c>
      <c r="IP64" s="3">
        <v>4.0000000000000002E-4</v>
      </c>
      <c r="IQ64" s="3">
        <v>0.55020000000000002</v>
      </c>
      <c r="IR64" s="3">
        <v>5.8200000000000002E-2</v>
      </c>
      <c r="IS64" s="3">
        <v>0.28960000000000002</v>
      </c>
      <c r="IT64" s="1">
        <v>17645</v>
      </c>
      <c r="IU64" s="1">
        <v>5108</v>
      </c>
      <c r="IV64" s="1">
        <v>22753</v>
      </c>
      <c r="IW64" s="3">
        <v>0.50570000000000004</v>
      </c>
      <c r="IX64" s="1">
        <v>244464</v>
      </c>
      <c r="IZ64">
        <v>213</v>
      </c>
      <c r="JA64">
        <v>281</v>
      </c>
      <c r="JB64">
        <v>265</v>
      </c>
      <c r="JC64">
        <v>69</v>
      </c>
      <c r="JD64">
        <v>1</v>
      </c>
      <c r="JE64">
        <v>375</v>
      </c>
      <c r="JF64">
        <v>282</v>
      </c>
      <c r="JG64">
        <v>282</v>
      </c>
      <c r="JH64">
        <v>640</v>
      </c>
      <c r="JI64" s="1">
        <v>1204</v>
      </c>
      <c r="JJ64">
        <v>759</v>
      </c>
      <c r="JK64">
        <v>445</v>
      </c>
      <c r="JL64" s="1">
        <v>2167</v>
      </c>
      <c r="JM64">
        <v>157</v>
      </c>
      <c r="JN64" s="1">
        <v>5516</v>
      </c>
      <c r="JO64" s="1">
        <v>1561</v>
      </c>
      <c r="JP64">
        <v>28</v>
      </c>
      <c r="JQ64" s="1">
        <v>6768</v>
      </c>
      <c r="JR64" s="1">
        <v>3728</v>
      </c>
      <c r="JS64">
        <v>185</v>
      </c>
      <c r="JT64" s="1">
        <v>12284</v>
      </c>
      <c r="JU64" s="1">
        <v>16197</v>
      </c>
      <c r="JV64" s="1">
        <v>7840</v>
      </c>
      <c r="JW64" s="1">
        <v>8357</v>
      </c>
      <c r="JX64">
        <v>13.45</v>
      </c>
      <c r="JY64">
        <v>13.22</v>
      </c>
      <c r="JZ64">
        <v>19.190000000000001</v>
      </c>
      <c r="KA64">
        <v>0.23</v>
      </c>
      <c r="KB64">
        <v>0.76</v>
      </c>
      <c r="KC64">
        <v>2</v>
      </c>
      <c r="KD64">
        <v>55</v>
      </c>
      <c r="KE64">
        <v>13</v>
      </c>
      <c r="KF64">
        <v>170</v>
      </c>
      <c r="KG64">
        <v>22</v>
      </c>
      <c r="KH64">
        <v>488</v>
      </c>
      <c r="KI64">
        <v>0</v>
      </c>
      <c r="KJ64">
        <v>0</v>
      </c>
      <c r="KK64">
        <v>0</v>
      </c>
      <c r="KL64">
        <v>0</v>
      </c>
      <c r="KM64" s="1">
        <v>18391</v>
      </c>
      <c r="KN64" s="1">
        <v>6053</v>
      </c>
      <c r="KO64" s="1">
        <v>1392</v>
      </c>
      <c r="KQ64">
        <v>834</v>
      </c>
      <c r="KR64" s="1">
        <v>6914</v>
      </c>
      <c r="KS64">
        <v>40</v>
      </c>
      <c r="KT64">
        <v>124</v>
      </c>
      <c r="KU64">
        <v>30</v>
      </c>
      <c r="KV64">
        <v>55</v>
      </c>
      <c r="KW64" s="1">
        <v>41000</v>
      </c>
      <c r="KY64" s="1">
        <v>20594</v>
      </c>
      <c r="KZ64" s="1">
        <v>71645</v>
      </c>
      <c r="LC64" t="s">
        <v>1569</v>
      </c>
      <c r="LD64" t="s">
        <v>709</v>
      </c>
      <c r="LE64" t="s">
        <v>1570</v>
      </c>
      <c r="LF64" t="s">
        <v>701</v>
      </c>
      <c r="LG64">
        <v>27944</v>
      </c>
      <c r="LH64">
        <v>1306</v>
      </c>
      <c r="LI64" t="s">
        <v>1570</v>
      </c>
      <c r="LJ64" t="s">
        <v>701</v>
      </c>
      <c r="LK64">
        <v>27944</v>
      </c>
      <c r="LL64">
        <v>1306</v>
      </c>
      <c r="LM64" t="s">
        <v>1571</v>
      </c>
      <c r="LN64">
        <v>2524265319</v>
      </c>
      <c r="LO64">
        <v>2524261556</v>
      </c>
      <c r="LP64" s="1">
        <v>31639</v>
      </c>
      <c r="LQ64">
        <v>15.65</v>
      </c>
      <c r="LS64" s="1">
        <v>9334</v>
      </c>
      <c r="LT64">
        <v>208</v>
      </c>
      <c r="LW64">
        <v>3</v>
      </c>
      <c r="LX64" t="s">
        <v>1572</v>
      </c>
      <c r="LY64">
        <v>0</v>
      </c>
      <c r="LZ64" t="s">
        <v>738</v>
      </c>
      <c r="MA64">
        <v>13.8</v>
      </c>
      <c r="MB64">
        <v>21.32</v>
      </c>
    </row>
    <row r="65" spans="1:340" x14ac:dyDescent="0.25">
      <c r="A65" t="s">
        <v>1573</v>
      </c>
      <c r="B65">
        <v>0</v>
      </c>
      <c r="C65">
        <v>1375</v>
      </c>
      <c r="D65">
        <v>2017</v>
      </c>
      <c r="E65">
        <v>0</v>
      </c>
      <c r="F65" t="s">
        <v>1573</v>
      </c>
      <c r="G65" t="s">
        <v>1574</v>
      </c>
      <c r="H65" t="s">
        <v>668</v>
      </c>
      <c r="I65" t="s">
        <v>669</v>
      </c>
      <c r="J65" t="s">
        <v>670</v>
      </c>
      <c r="K65" t="s">
        <v>671</v>
      </c>
      <c r="L65" t="s">
        <v>672</v>
      </c>
      <c r="M65" t="s">
        <v>673</v>
      </c>
      <c r="N65" s="1">
        <v>20828</v>
      </c>
      <c r="O65" t="s">
        <v>674</v>
      </c>
      <c r="P65">
        <v>231</v>
      </c>
      <c r="Q65">
        <v>53</v>
      </c>
      <c r="R65">
        <v>30</v>
      </c>
      <c r="S65">
        <v>10</v>
      </c>
      <c r="T65" s="1">
        <v>1549</v>
      </c>
      <c r="U65">
        <v>54</v>
      </c>
      <c r="V65" s="1">
        <v>8637</v>
      </c>
      <c r="W65" s="1">
        <v>1186</v>
      </c>
      <c r="Z65" t="s">
        <v>1575</v>
      </c>
      <c r="AA65" t="s">
        <v>966</v>
      </c>
      <c r="AB65">
        <v>28722</v>
      </c>
      <c r="AC65">
        <v>8643</v>
      </c>
      <c r="AD65" t="s">
        <v>1575</v>
      </c>
      <c r="AE65" t="s">
        <v>966</v>
      </c>
      <c r="AF65">
        <v>28722</v>
      </c>
      <c r="AG65">
        <v>2</v>
      </c>
      <c r="AH65" t="s">
        <v>1576</v>
      </c>
      <c r="AJ65" t="s">
        <v>35</v>
      </c>
      <c r="AK65" t="s">
        <v>1577</v>
      </c>
      <c r="AL65" t="s">
        <v>1578</v>
      </c>
      <c r="AM65" t="s">
        <v>1579</v>
      </c>
      <c r="AN65" t="s">
        <v>1580</v>
      </c>
      <c r="AO65" t="s">
        <v>1581</v>
      </c>
      <c r="AP65" t="s">
        <v>1578</v>
      </c>
      <c r="AQ65" t="s">
        <v>706</v>
      </c>
      <c r="AR65" t="s">
        <v>1582</v>
      </c>
      <c r="AT65" t="s">
        <v>1581</v>
      </c>
      <c r="AU65" t="s">
        <v>1583</v>
      </c>
      <c r="BC65">
        <v>1</v>
      </c>
      <c r="BD65">
        <v>1</v>
      </c>
      <c r="BE65">
        <v>0</v>
      </c>
      <c r="BF65">
        <v>1</v>
      </c>
      <c r="BG65">
        <v>3</v>
      </c>
      <c r="BI65" s="1">
        <v>5350</v>
      </c>
      <c r="BJ65">
        <v>2.81</v>
      </c>
      <c r="BK65">
        <v>0</v>
      </c>
      <c r="BL65">
        <v>2.81</v>
      </c>
      <c r="BM65">
        <v>7.95</v>
      </c>
      <c r="BN65">
        <v>10.76</v>
      </c>
      <c r="BO65" s="3">
        <v>0.26119999999999999</v>
      </c>
      <c r="BP65" s="1">
        <v>1684</v>
      </c>
      <c r="BQ65" s="4">
        <v>56292</v>
      </c>
      <c r="BU65" s="4">
        <v>29091</v>
      </c>
      <c r="BV65" s="4">
        <v>29091</v>
      </c>
      <c r="BW65" s="4">
        <v>29091</v>
      </c>
      <c r="BY65" s="4">
        <v>29058</v>
      </c>
      <c r="BZ65" s="4">
        <v>29058</v>
      </c>
      <c r="CA65" s="4">
        <v>29058</v>
      </c>
      <c r="CG65" s="4">
        <v>29058</v>
      </c>
      <c r="CH65" s="4">
        <v>29058</v>
      </c>
      <c r="CI65" s="4">
        <v>29058</v>
      </c>
      <c r="CK65" s="4">
        <v>27014</v>
      </c>
      <c r="CL65" s="4">
        <v>27014</v>
      </c>
      <c r="CM65" s="1">
        <v>27014</v>
      </c>
      <c r="DO65" s="4">
        <v>21158</v>
      </c>
      <c r="DP65" s="4">
        <v>33758</v>
      </c>
      <c r="DQ65" s="4">
        <v>23595</v>
      </c>
      <c r="DV65" s="4">
        <v>0</v>
      </c>
      <c r="DW65" s="4">
        <v>474797</v>
      </c>
      <c r="DX65" s="4">
        <v>474797</v>
      </c>
      <c r="DY65" s="4">
        <v>76970</v>
      </c>
      <c r="DZ65" s="4">
        <v>0</v>
      </c>
      <c r="EA65" s="4">
        <v>76970</v>
      </c>
      <c r="EB65" s="4">
        <v>16717</v>
      </c>
      <c r="EC65" s="4">
        <v>0</v>
      </c>
      <c r="ED65" s="4">
        <v>16717</v>
      </c>
      <c r="EE65" s="4">
        <v>19022</v>
      </c>
      <c r="EF65" s="4">
        <v>587506</v>
      </c>
      <c r="EG65" s="4">
        <v>317543</v>
      </c>
      <c r="EH65" s="4">
        <v>84851</v>
      </c>
      <c r="EI65" s="4">
        <v>402394</v>
      </c>
      <c r="EJ65" s="4">
        <v>44745</v>
      </c>
      <c r="EK65" s="4">
        <v>6202</v>
      </c>
      <c r="EL65" s="4">
        <v>15605</v>
      </c>
      <c r="EM65" s="4">
        <v>66552</v>
      </c>
      <c r="EN65" s="4">
        <v>89742</v>
      </c>
      <c r="EO65" s="4">
        <v>558688</v>
      </c>
      <c r="EP65" s="4">
        <v>28818</v>
      </c>
      <c r="EQ65" s="3">
        <v>4.9099999999999998E-2</v>
      </c>
      <c r="ER65" s="4">
        <v>47964</v>
      </c>
      <c r="ES65" s="4">
        <v>0</v>
      </c>
      <c r="ET65" s="4">
        <v>0</v>
      </c>
      <c r="EU65" s="4">
        <v>0</v>
      </c>
      <c r="EV65" s="4">
        <v>47964</v>
      </c>
      <c r="EW65" s="4">
        <v>47730</v>
      </c>
      <c r="EX65" s="1">
        <v>27159</v>
      </c>
      <c r="EY65" s="1">
        <v>160485</v>
      </c>
      <c r="EZ65" s="1">
        <v>14320</v>
      </c>
      <c r="FA65" s="1">
        <v>2150</v>
      </c>
      <c r="FB65" s="1">
        <v>8253</v>
      </c>
      <c r="FC65" s="1">
        <v>13447</v>
      </c>
      <c r="FD65">
        <v>544</v>
      </c>
      <c r="FE65" s="1">
        <v>3093</v>
      </c>
      <c r="FF65" s="1">
        <v>27767</v>
      </c>
      <c r="FG65" s="1">
        <v>2694</v>
      </c>
      <c r="FH65" s="1">
        <v>11346</v>
      </c>
      <c r="FI65" s="1">
        <v>41807</v>
      </c>
      <c r="FJ65">
        <v>0</v>
      </c>
      <c r="FK65">
        <v>144</v>
      </c>
      <c r="FM65" s="1">
        <v>41807</v>
      </c>
      <c r="FN65" s="1">
        <v>3013</v>
      </c>
      <c r="FO65" s="1">
        <v>7184</v>
      </c>
      <c r="FP65">
        <v>101</v>
      </c>
      <c r="FQ65">
        <v>1</v>
      </c>
      <c r="FR65">
        <v>88</v>
      </c>
      <c r="FS65">
        <v>89</v>
      </c>
      <c r="FT65" s="1">
        <v>44141</v>
      </c>
      <c r="FU65" s="1">
        <v>3505</v>
      </c>
      <c r="FV65">
        <v>0</v>
      </c>
      <c r="FW65">
        <v>0</v>
      </c>
      <c r="FX65" s="1">
        <v>8544</v>
      </c>
      <c r="FY65" s="1">
        <v>1573</v>
      </c>
      <c r="FZ65">
        <v>322</v>
      </c>
      <c r="GA65">
        <v>0</v>
      </c>
      <c r="GE65">
        <v>0</v>
      </c>
      <c r="GF65" s="1">
        <v>36593</v>
      </c>
      <c r="GG65" s="1">
        <v>13194</v>
      </c>
      <c r="GH65">
        <v>263</v>
      </c>
      <c r="GI65">
        <v>12</v>
      </c>
      <c r="GJ65">
        <v>0</v>
      </c>
      <c r="GK65">
        <v>0</v>
      </c>
      <c r="GL65">
        <v>0</v>
      </c>
      <c r="GM65">
        <v>0</v>
      </c>
      <c r="GN65" s="1">
        <v>89278</v>
      </c>
      <c r="GO65" s="1">
        <v>18272</v>
      </c>
      <c r="GP65">
        <v>585</v>
      </c>
      <c r="GQ65">
        <v>12</v>
      </c>
      <c r="GR65">
        <v>45</v>
      </c>
      <c r="GT65" s="1">
        <v>36351</v>
      </c>
      <c r="GU65" s="1">
        <v>3692</v>
      </c>
      <c r="GV65" s="1">
        <v>21457</v>
      </c>
      <c r="GW65" s="1">
        <v>19079</v>
      </c>
      <c r="GX65">
        <v>380</v>
      </c>
      <c r="GY65" s="1">
        <v>4273</v>
      </c>
      <c r="GZ65" s="1">
        <v>55430</v>
      </c>
      <c r="HA65" s="1">
        <v>4072</v>
      </c>
      <c r="HB65" s="1">
        <v>25730</v>
      </c>
      <c r="HC65" s="1">
        <v>85232</v>
      </c>
      <c r="HD65">
        <v>922</v>
      </c>
      <c r="HE65" s="1">
        <v>86154</v>
      </c>
      <c r="HF65" s="1">
        <v>6483</v>
      </c>
      <c r="HG65" s="1">
        <v>55726</v>
      </c>
      <c r="HH65">
        <v>0</v>
      </c>
      <c r="HI65">
        <v>0</v>
      </c>
      <c r="HJ65" s="1">
        <v>62209</v>
      </c>
      <c r="HK65" s="1">
        <v>148363</v>
      </c>
      <c r="HL65">
        <v>62</v>
      </c>
      <c r="HM65" s="1">
        <v>5858</v>
      </c>
      <c r="HN65" s="1">
        <v>5920</v>
      </c>
      <c r="HO65">
        <v>1</v>
      </c>
      <c r="HP65" s="1">
        <v>4495</v>
      </c>
      <c r="HQ65" s="1">
        <v>4496</v>
      </c>
      <c r="HR65">
        <v>0</v>
      </c>
      <c r="HS65">
        <v>3</v>
      </c>
      <c r="HT65">
        <v>3</v>
      </c>
      <c r="HU65">
        <v>186</v>
      </c>
      <c r="HV65" s="1">
        <v>10605</v>
      </c>
      <c r="HW65">
        <v>495</v>
      </c>
      <c r="HX65">
        <v>0</v>
      </c>
      <c r="HY65">
        <v>495</v>
      </c>
      <c r="HZ65" s="1">
        <v>11100</v>
      </c>
      <c r="IA65" s="1">
        <v>10979</v>
      </c>
      <c r="IB65" s="1">
        <v>66708</v>
      </c>
      <c r="IC65" s="1">
        <v>158968</v>
      </c>
      <c r="ID65" s="1">
        <v>158968</v>
      </c>
      <c r="IE65" s="1">
        <v>159463</v>
      </c>
      <c r="IF65" s="1">
        <v>45284</v>
      </c>
      <c r="IG65">
        <v>74</v>
      </c>
      <c r="IJ65">
        <v>1</v>
      </c>
      <c r="IK65" s="3">
        <v>4.8399999999999999E-2</v>
      </c>
      <c r="IL65" s="3">
        <v>8.9999999999999998E-4</v>
      </c>
      <c r="IM65" s="3">
        <v>0.67390000000000005</v>
      </c>
      <c r="IN65" s="3">
        <v>0</v>
      </c>
      <c r="IO65" s="3">
        <v>0.55630000000000002</v>
      </c>
      <c r="IP65" s="3">
        <v>5.9999999999999995E-4</v>
      </c>
      <c r="IQ65" s="3">
        <v>0.26050000000000001</v>
      </c>
      <c r="IR65" s="3">
        <v>0.1326</v>
      </c>
      <c r="IS65" s="3">
        <v>0.28489999999999999</v>
      </c>
      <c r="IT65" s="1">
        <v>6161</v>
      </c>
      <c r="IU65">
        <v>773</v>
      </c>
      <c r="IV65" s="1">
        <v>6934</v>
      </c>
      <c r="IW65" s="3">
        <v>0.33289999999999997</v>
      </c>
      <c r="IX65" s="1">
        <v>106128</v>
      </c>
      <c r="IZ65">
        <v>163</v>
      </c>
      <c r="JA65">
        <v>92</v>
      </c>
      <c r="JB65">
        <v>149</v>
      </c>
      <c r="JC65">
        <v>40</v>
      </c>
      <c r="JD65">
        <v>7</v>
      </c>
      <c r="JE65">
        <v>73</v>
      </c>
      <c r="JF65">
        <v>203</v>
      </c>
      <c r="JG65">
        <v>99</v>
      </c>
      <c r="JH65">
        <v>222</v>
      </c>
      <c r="JI65">
        <v>524</v>
      </c>
      <c r="JJ65">
        <v>404</v>
      </c>
      <c r="JK65">
        <v>120</v>
      </c>
      <c r="JL65" s="1">
        <v>1539</v>
      </c>
      <c r="JM65">
        <v>668</v>
      </c>
      <c r="JN65" s="1">
        <v>2569</v>
      </c>
      <c r="JO65">
        <v>565</v>
      </c>
      <c r="JP65">
        <v>184</v>
      </c>
      <c r="JQ65" s="1">
        <v>1739</v>
      </c>
      <c r="JR65" s="1">
        <v>2104</v>
      </c>
      <c r="JS65">
        <v>852</v>
      </c>
      <c r="JT65" s="1">
        <v>4308</v>
      </c>
      <c r="JU65" s="1">
        <v>7264</v>
      </c>
      <c r="JV65" s="1">
        <v>4776</v>
      </c>
      <c r="JW65" s="1">
        <v>2488</v>
      </c>
      <c r="JX65">
        <v>13.86</v>
      </c>
      <c r="JY65">
        <v>10.36</v>
      </c>
      <c r="JZ65">
        <v>19.41</v>
      </c>
      <c r="KA65">
        <v>0.28999999999999998</v>
      </c>
      <c r="KB65">
        <v>0.59</v>
      </c>
      <c r="KC65">
        <v>2</v>
      </c>
      <c r="KD65">
        <v>13</v>
      </c>
      <c r="KE65">
        <v>16</v>
      </c>
      <c r="KF65">
        <v>82</v>
      </c>
      <c r="KG65">
        <v>93</v>
      </c>
      <c r="KH65" s="1">
        <v>1299</v>
      </c>
      <c r="KI65">
        <v>0</v>
      </c>
      <c r="KJ65">
        <v>0</v>
      </c>
      <c r="KK65">
        <v>211</v>
      </c>
      <c r="KL65" s="1">
        <v>3273</v>
      </c>
      <c r="KM65" s="1">
        <v>11600</v>
      </c>
      <c r="KN65" s="1">
        <v>7500</v>
      </c>
      <c r="KO65">
        <v>825</v>
      </c>
      <c r="KQ65">
        <v>266</v>
      </c>
      <c r="KR65" s="1">
        <v>4197</v>
      </c>
      <c r="KS65" s="1">
        <v>3120</v>
      </c>
      <c r="KT65" s="1">
        <v>4804</v>
      </c>
      <c r="KU65">
        <v>18</v>
      </c>
      <c r="KV65">
        <v>45</v>
      </c>
      <c r="KW65" s="1">
        <v>22496</v>
      </c>
      <c r="KY65" s="1">
        <v>78575</v>
      </c>
      <c r="LC65" t="s">
        <v>1576</v>
      </c>
      <c r="LD65" t="s">
        <v>709</v>
      </c>
      <c r="LE65" t="s">
        <v>1575</v>
      </c>
      <c r="LF65" t="s">
        <v>966</v>
      </c>
      <c r="LG65">
        <v>28722</v>
      </c>
      <c r="LH65">
        <v>8643</v>
      </c>
      <c r="LI65" t="s">
        <v>1575</v>
      </c>
      <c r="LJ65" t="s">
        <v>966</v>
      </c>
      <c r="LK65">
        <v>28722</v>
      </c>
      <c r="LL65">
        <v>8643</v>
      </c>
      <c r="LM65" t="s">
        <v>1577</v>
      </c>
      <c r="LN65">
        <v>8288948721</v>
      </c>
      <c r="LP65" s="1">
        <v>24370</v>
      </c>
      <c r="LQ65">
        <v>10.75</v>
      </c>
      <c r="LS65" s="1">
        <v>5350</v>
      </c>
      <c r="LT65">
        <v>104</v>
      </c>
      <c r="LW65">
        <v>2</v>
      </c>
      <c r="LX65" t="s">
        <v>1584</v>
      </c>
      <c r="LY65">
        <v>0</v>
      </c>
      <c r="LZ65" t="s">
        <v>691</v>
      </c>
      <c r="MA65">
        <v>44.7</v>
      </c>
      <c r="MB65">
        <v>8.91</v>
      </c>
    </row>
    <row r="66" spans="1:340" x14ac:dyDescent="0.25">
      <c r="A66" t="s">
        <v>1585</v>
      </c>
      <c r="B66">
        <v>0</v>
      </c>
      <c r="C66">
        <v>1375</v>
      </c>
      <c r="D66">
        <v>2017</v>
      </c>
      <c r="E66">
        <v>0</v>
      </c>
      <c r="F66" t="s">
        <v>1585</v>
      </c>
      <c r="G66" t="s">
        <v>1586</v>
      </c>
      <c r="H66" t="s">
        <v>668</v>
      </c>
      <c r="I66" t="s">
        <v>1533</v>
      </c>
      <c r="J66" t="s">
        <v>670</v>
      </c>
      <c r="K66" t="s">
        <v>671</v>
      </c>
      <c r="L66" t="s">
        <v>672</v>
      </c>
      <c r="M66" t="s">
        <v>673</v>
      </c>
      <c r="N66" s="1">
        <v>165785</v>
      </c>
      <c r="O66" t="s">
        <v>674</v>
      </c>
      <c r="P66">
        <v>522</v>
      </c>
      <c r="Q66">
        <v>124</v>
      </c>
      <c r="R66">
        <v>101</v>
      </c>
      <c r="S66">
        <v>45</v>
      </c>
      <c r="T66" s="1">
        <v>4393</v>
      </c>
      <c r="U66" s="1">
        <v>1330</v>
      </c>
      <c r="V66" s="1">
        <v>31982</v>
      </c>
      <c r="W66" s="1">
        <v>5165</v>
      </c>
      <c r="Z66" t="s">
        <v>1587</v>
      </c>
      <c r="AA66" t="s">
        <v>1588</v>
      </c>
      <c r="AB66">
        <v>27577</v>
      </c>
      <c r="AC66">
        <v>3919</v>
      </c>
      <c r="AD66" t="s">
        <v>1587</v>
      </c>
      <c r="AE66" t="s">
        <v>1588</v>
      </c>
      <c r="AF66">
        <v>27577</v>
      </c>
      <c r="AG66">
        <v>3</v>
      </c>
      <c r="AH66" t="s">
        <v>1589</v>
      </c>
      <c r="AJ66" t="s">
        <v>35</v>
      </c>
      <c r="AK66" t="s">
        <v>1326</v>
      </c>
      <c r="AL66" t="s">
        <v>1590</v>
      </c>
      <c r="AM66" t="s">
        <v>1591</v>
      </c>
      <c r="AN66" t="s">
        <v>1592</v>
      </c>
      <c r="AO66" t="s">
        <v>1593</v>
      </c>
      <c r="AP66" t="s">
        <v>1590</v>
      </c>
      <c r="AQ66" t="s">
        <v>36</v>
      </c>
      <c r="AR66" t="s">
        <v>1591</v>
      </c>
      <c r="AS66" t="s">
        <v>1592</v>
      </c>
      <c r="AT66" t="s">
        <v>1593</v>
      </c>
      <c r="AU66" t="s">
        <v>1594</v>
      </c>
      <c r="BC66">
        <v>1</v>
      </c>
      <c r="BD66">
        <v>5</v>
      </c>
      <c r="BE66">
        <v>0</v>
      </c>
      <c r="BF66">
        <v>1</v>
      </c>
      <c r="BG66">
        <v>7</v>
      </c>
      <c r="BI66" s="1">
        <v>12298</v>
      </c>
      <c r="BJ66">
        <v>5</v>
      </c>
      <c r="BK66">
        <v>1</v>
      </c>
      <c r="BL66">
        <v>6</v>
      </c>
      <c r="BM66">
        <v>20</v>
      </c>
      <c r="BN66">
        <v>26</v>
      </c>
      <c r="BO66" s="3">
        <v>0.1923</v>
      </c>
      <c r="BP66" s="1">
        <v>1869</v>
      </c>
      <c r="BQ66" s="4">
        <v>64297</v>
      </c>
      <c r="BU66" s="4">
        <v>42411</v>
      </c>
      <c r="BV66" s="4">
        <v>46570</v>
      </c>
      <c r="BY66" s="4">
        <v>39372</v>
      </c>
      <c r="BZ66" s="4">
        <v>39756</v>
      </c>
      <c r="CA66" s="4">
        <v>39564</v>
      </c>
      <c r="CC66" s="4">
        <v>42840</v>
      </c>
      <c r="CD66" s="4">
        <v>43268</v>
      </c>
      <c r="CE66" s="1">
        <v>43054</v>
      </c>
      <c r="CR66" s="4">
        <v>39372</v>
      </c>
      <c r="CS66" s="4">
        <v>39756</v>
      </c>
      <c r="CT66" s="4">
        <v>39564</v>
      </c>
      <c r="CV66" s="4">
        <v>42840</v>
      </c>
      <c r="CW66" s="4">
        <v>43268</v>
      </c>
      <c r="CX66" s="4">
        <v>43054</v>
      </c>
      <c r="DK66" s="4">
        <v>10000</v>
      </c>
      <c r="DL66" s="4">
        <v>35628</v>
      </c>
      <c r="DM66" s="4">
        <v>26763</v>
      </c>
      <c r="DO66" s="4">
        <v>15080</v>
      </c>
      <c r="DP66" s="4">
        <v>25188</v>
      </c>
      <c r="DQ66" s="4">
        <v>24252</v>
      </c>
      <c r="DS66" s="4">
        <v>52085</v>
      </c>
      <c r="DT66" s="4">
        <v>52085</v>
      </c>
      <c r="DU66" s="4">
        <v>52085</v>
      </c>
      <c r="DV66" s="4">
        <v>690866</v>
      </c>
      <c r="DW66" s="4">
        <v>451000</v>
      </c>
      <c r="DX66" s="4">
        <v>1141866</v>
      </c>
      <c r="DY66" s="4">
        <v>191073</v>
      </c>
      <c r="DZ66" s="4">
        <v>0</v>
      </c>
      <c r="EA66" s="4">
        <v>191073</v>
      </c>
      <c r="EB66" s="4">
        <v>0</v>
      </c>
      <c r="EC66" s="4">
        <v>0</v>
      </c>
      <c r="ED66" s="4">
        <v>0</v>
      </c>
      <c r="EE66" s="4">
        <v>128735</v>
      </c>
      <c r="EF66" s="4">
        <v>1461674</v>
      </c>
      <c r="EG66" s="4">
        <v>749824</v>
      </c>
      <c r="EH66" s="4">
        <v>301330</v>
      </c>
      <c r="EI66" s="4">
        <v>1051154</v>
      </c>
      <c r="EJ66" s="4">
        <v>75241</v>
      </c>
      <c r="EK66" s="4">
        <v>3633</v>
      </c>
      <c r="EL66" s="4">
        <v>15000</v>
      </c>
      <c r="EM66" s="4">
        <v>93874</v>
      </c>
      <c r="EN66" s="4">
        <v>316646</v>
      </c>
      <c r="EO66" s="4">
        <v>1461674</v>
      </c>
      <c r="EP66" s="4">
        <v>0</v>
      </c>
      <c r="EQ66" s="3">
        <v>0</v>
      </c>
      <c r="ER66" s="4">
        <v>77272</v>
      </c>
      <c r="ES66" s="4">
        <v>0</v>
      </c>
      <c r="ET66" s="4">
        <v>0</v>
      </c>
      <c r="EU66" s="4">
        <v>0</v>
      </c>
      <c r="EV66" s="4">
        <v>77272</v>
      </c>
      <c r="EW66" s="4">
        <v>77272</v>
      </c>
      <c r="EX66" s="1">
        <v>17156</v>
      </c>
      <c r="EY66" s="1">
        <v>311470</v>
      </c>
      <c r="EZ66" s="1">
        <v>77296</v>
      </c>
      <c r="FA66" s="1">
        <v>8285</v>
      </c>
      <c r="FB66" s="1">
        <v>51746</v>
      </c>
      <c r="FC66" s="1">
        <v>68533</v>
      </c>
      <c r="FD66" s="1">
        <v>3120</v>
      </c>
      <c r="FE66" s="1">
        <v>28566</v>
      </c>
      <c r="FF66" s="1">
        <v>145829</v>
      </c>
      <c r="FG66" s="1">
        <v>11405</v>
      </c>
      <c r="FH66" s="1">
        <v>80312</v>
      </c>
      <c r="FI66" s="1">
        <v>237546</v>
      </c>
      <c r="FJ66" s="1">
        <v>1423</v>
      </c>
      <c r="FK66">
        <v>50</v>
      </c>
      <c r="FM66" s="1">
        <v>237546</v>
      </c>
      <c r="FN66" s="1">
        <v>7370</v>
      </c>
      <c r="FO66" s="1">
        <v>6169</v>
      </c>
      <c r="FP66">
        <v>30</v>
      </c>
      <c r="FQ66">
        <v>0</v>
      </c>
      <c r="FR66">
        <v>88</v>
      </c>
      <c r="FS66">
        <v>88</v>
      </c>
      <c r="FT66" s="1">
        <v>44141</v>
      </c>
      <c r="FU66" s="1">
        <v>3505</v>
      </c>
      <c r="FV66">
        <v>0</v>
      </c>
      <c r="FW66">
        <v>0</v>
      </c>
      <c r="FX66" s="1">
        <v>8544</v>
      </c>
      <c r="FY66" s="1">
        <v>1573</v>
      </c>
      <c r="FZ66">
        <v>322</v>
      </c>
      <c r="GA66">
        <v>0</v>
      </c>
      <c r="GE66">
        <v>0</v>
      </c>
      <c r="GJ66">
        <v>597</v>
      </c>
      <c r="GK66">
        <v>112</v>
      </c>
      <c r="GL66">
        <v>0</v>
      </c>
      <c r="GM66">
        <v>0</v>
      </c>
      <c r="GN66" s="1">
        <v>53282</v>
      </c>
      <c r="GO66" s="1">
        <v>5190</v>
      </c>
      <c r="GP66">
        <v>322</v>
      </c>
      <c r="GQ66">
        <v>0</v>
      </c>
      <c r="GR66">
        <v>16</v>
      </c>
      <c r="GT66" s="1">
        <v>82142</v>
      </c>
      <c r="GU66" s="1">
        <v>13525</v>
      </c>
      <c r="GV66" s="1">
        <v>75739</v>
      </c>
      <c r="GW66" s="1">
        <v>20358</v>
      </c>
      <c r="GX66" s="1">
        <v>1701</v>
      </c>
      <c r="GY66" s="1">
        <v>22149</v>
      </c>
      <c r="GZ66" s="1">
        <v>102500</v>
      </c>
      <c r="HA66" s="1">
        <v>15226</v>
      </c>
      <c r="HB66" s="1">
        <v>97888</v>
      </c>
      <c r="HC66" s="1">
        <v>215614</v>
      </c>
      <c r="HD66">
        <v>18</v>
      </c>
      <c r="HE66" s="1">
        <v>230028</v>
      </c>
      <c r="HF66" s="1">
        <v>11769</v>
      </c>
      <c r="HG66" s="1">
        <v>12982</v>
      </c>
      <c r="HH66" s="1">
        <v>14396</v>
      </c>
      <c r="HI66">
        <v>7</v>
      </c>
      <c r="HJ66" s="1">
        <v>24758</v>
      </c>
      <c r="HK66" s="1">
        <v>254786</v>
      </c>
      <c r="HL66">
        <v>71</v>
      </c>
      <c r="HM66" s="1">
        <v>3546</v>
      </c>
      <c r="HN66" s="1">
        <v>3617</v>
      </c>
      <c r="HO66">
        <v>146</v>
      </c>
      <c r="HP66">
        <v>758</v>
      </c>
      <c r="HQ66">
        <v>904</v>
      </c>
      <c r="HR66">
        <v>0</v>
      </c>
      <c r="HS66">
        <v>0</v>
      </c>
      <c r="HT66">
        <v>0</v>
      </c>
      <c r="HU66">
        <v>0</v>
      </c>
      <c r="HV66" s="1">
        <v>4521</v>
      </c>
      <c r="HW66" s="1">
        <v>56072</v>
      </c>
      <c r="HX66">
        <v>0</v>
      </c>
      <c r="HY66" s="1">
        <v>56072</v>
      </c>
      <c r="HZ66" s="1">
        <v>60593</v>
      </c>
      <c r="IA66" s="1">
        <v>12673</v>
      </c>
      <c r="IB66" s="1">
        <v>25655</v>
      </c>
      <c r="IC66" s="1">
        <v>259307</v>
      </c>
      <c r="ID66" s="1">
        <v>259307</v>
      </c>
      <c r="IE66" s="1">
        <v>315379</v>
      </c>
      <c r="IF66" s="1">
        <v>113114</v>
      </c>
      <c r="IG66">
        <v>0</v>
      </c>
      <c r="IK66" s="3">
        <v>2.0799999999999999E-2</v>
      </c>
      <c r="IL66" s="3">
        <v>2.0000000000000001E-4</v>
      </c>
      <c r="IM66" s="3">
        <v>0.1888</v>
      </c>
      <c r="IN66" s="3">
        <v>0</v>
      </c>
      <c r="IO66" s="3">
        <v>0.1711</v>
      </c>
      <c r="IP66" s="3">
        <v>2.9999999999999997E-4</v>
      </c>
      <c r="IQ66" s="3">
        <v>0.76270000000000004</v>
      </c>
      <c r="IR66" s="3">
        <v>4.0300000000000002E-2</v>
      </c>
      <c r="IS66" s="3">
        <v>0.43619999999999998</v>
      </c>
      <c r="IT66" s="1">
        <v>39606</v>
      </c>
      <c r="IU66" s="1">
        <v>11453</v>
      </c>
      <c r="IV66" s="1">
        <v>51059</v>
      </c>
      <c r="IW66" s="3">
        <v>0.308</v>
      </c>
      <c r="IX66" s="1">
        <v>211900</v>
      </c>
      <c r="IZ66">
        <v>95</v>
      </c>
      <c r="JA66">
        <v>32</v>
      </c>
      <c r="JB66">
        <v>399</v>
      </c>
      <c r="JC66">
        <v>21</v>
      </c>
      <c r="JD66">
        <v>0</v>
      </c>
      <c r="JE66">
        <v>129</v>
      </c>
      <c r="JF66">
        <v>116</v>
      </c>
      <c r="JG66">
        <v>32</v>
      </c>
      <c r="JH66">
        <v>528</v>
      </c>
      <c r="JI66">
        <v>676</v>
      </c>
      <c r="JJ66">
        <v>526</v>
      </c>
      <c r="JK66">
        <v>150</v>
      </c>
      <c r="JL66">
        <v>958</v>
      </c>
      <c r="JM66">
        <v>199</v>
      </c>
      <c r="JN66" s="1">
        <v>12001</v>
      </c>
      <c r="JO66">
        <v>473</v>
      </c>
      <c r="JP66">
        <v>0</v>
      </c>
      <c r="JQ66" s="1">
        <v>2172</v>
      </c>
      <c r="JR66" s="1">
        <v>1431</v>
      </c>
      <c r="JS66">
        <v>199</v>
      </c>
      <c r="JT66" s="1">
        <v>14173</v>
      </c>
      <c r="JU66" s="1">
        <v>15803</v>
      </c>
      <c r="JV66" s="1">
        <v>13158</v>
      </c>
      <c r="JW66" s="1">
        <v>2645</v>
      </c>
      <c r="JX66">
        <v>23.38</v>
      </c>
      <c r="JY66">
        <v>12.34</v>
      </c>
      <c r="JZ66">
        <v>26.84</v>
      </c>
      <c r="KA66">
        <v>0.09</v>
      </c>
      <c r="KB66">
        <v>0.9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 s="1">
        <v>110162</v>
      </c>
      <c r="KN66" s="1">
        <v>19114</v>
      </c>
      <c r="KO66" s="1">
        <v>9650</v>
      </c>
      <c r="KQ66">
        <v>448</v>
      </c>
      <c r="KR66" s="1">
        <v>4307</v>
      </c>
      <c r="KS66" s="1">
        <v>13613</v>
      </c>
      <c r="KT66" s="1">
        <v>7671</v>
      </c>
      <c r="KU66">
        <v>25</v>
      </c>
      <c r="KV66">
        <v>48</v>
      </c>
      <c r="KW66" s="1">
        <v>45180</v>
      </c>
      <c r="KY66" s="1">
        <v>39428</v>
      </c>
      <c r="KZ66" s="1">
        <v>25552</v>
      </c>
      <c r="LC66" t="s">
        <v>1595</v>
      </c>
      <c r="LD66" t="s">
        <v>709</v>
      </c>
      <c r="LE66" t="s">
        <v>1587</v>
      </c>
      <c r="LF66" t="s">
        <v>1588</v>
      </c>
      <c r="LG66">
        <v>27577</v>
      </c>
      <c r="LH66">
        <v>3919</v>
      </c>
      <c r="LI66" t="s">
        <v>1587</v>
      </c>
      <c r="LJ66" t="s">
        <v>1588</v>
      </c>
      <c r="LK66">
        <v>27577</v>
      </c>
      <c r="LL66">
        <v>3919</v>
      </c>
      <c r="LM66" t="s">
        <v>1326</v>
      </c>
      <c r="LN66">
        <v>9199348146</v>
      </c>
      <c r="LO66">
        <v>9199348084</v>
      </c>
      <c r="LP66" s="1">
        <v>53627</v>
      </c>
      <c r="LQ66">
        <v>22.9</v>
      </c>
      <c r="LS66" s="1">
        <v>12298</v>
      </c>
      <c r="LT66">
        <v>312</v>
      </c>
      <c r="LW66">
        <v>2</v>
      </c>
      <c r="LX66" t="s">
        <v>1596</v>
      </c>
      <c r="LY66">
        <v>0</v>
      </c>
      <c r="LZ66" t="s">
        <v>691</v>
      </c>
      <c r="MA66">
        <v>22.51</v>
      </c>
    </row>
    <row r="67" spans="1:340" x14ac:dyDescent="0.25">
      <c r="A67" t="s">
        <v>1597</v>
      </c>
      <c r="B67">
        <v>0</v>
      </c>
      <c r="C67">
        <v>1375</v>
      </c>
      <c r="D67">
        <v>2017</v>
      </c>
      <c r="E67">
        <v>0</v>
      </c>
      <c r="F67" t="s">
        <v>1597</v>
      </c>
      <c r="G67" t="s">
        <v>1598</v>
      </c>
      <c r="H67" t="s">
        <v>668</v>
      </c>
      <c r="I67" t="s">
        <v>669</v>
      </c>
      <c r="J67" t="s">
        <v>670</v>
      </c>
      <c r="K67" t="s">
        <v>671</v>
      </c>
      <c r="L67" t="s">
        <v>791</v>
      </c>
      <c r="M67" t="s">
        <v>673</v>
      </c>
      <c r="N67" s="1">
        <v>142933</v>
      </c>
      <c r="O67" t="s">
        <v>674</v>
      </c>
      <c r="P67" s="1">
        <v>2019</v>
      </c>
      <c r="Q67">
        <v>185</v>
      </c>
      <c r="R67">
        <v>203</v>
      </c>
      <c r="S67">
        <v>30</v>
      </c>
      <c r="T67" s="1">
        <v>7572</v>
      </c>
      <c r="U67">
        <v>265</v>
      </c>
      <c r="V67" s="1">
        <v>54167</v>
      </c>
      <c r="W67" s="1">
        <v>6544</v>
      </c>
      <c r="X67" s="1">
        <v>963417</v>
      </c>
      <c r="Y67" s="1">
        <v>36346</v>
      </c>
      <c r="Z67" t="s">
        <v>1599</v>
      </c>
      <c r="AA67" t="s">
        <v>1600</v>
      </c>
      <c r="AB67">
        <v>27203</v>
      </c>
      <c r="AC67">
        <v>5557</v>
      </c>
      <c r="AD67" t="s">
        <v>1599</v>
      </c>
      <c r="AE67" t="s">
        <v>1600</v>
      </c>
      <c r="AF67">
        <v>27203</v>
      </c>
      <c r="AG67">
        <v>2</v>
      </c>
      <c r="AH67" t="s">
        <v>1601</v>
      </c>
      <c r="AJ67" t="s">
        <v>35</v>
      </c>
      <c r="AK67" t="s">
        <v>1602</v>
      </c>
      <c r="AL67" t="s">
        <v>1603</v>
      </c>
      <c r="AM67" t="s">
        <v>1604</v>
      </c>
      <c r="AN67" t="s">
        <v>1605</v>
      </c>
      <c r="AO67" t="s">
        <v>1606</v>
      </c>
      <c r="AP67" t="s">
        <v>1607</v>
      </c>
      <c r="AQ67" t="s">
        <v>1608</v>
      </c>
      <c r="AR67" t="s">
        <v>1609</v>
      </c>
      <c r="AS67" t="s">
        <v>1605</v>
      </c>
      <c r="AT67" t="s">
        <v>1610</v>
      </c>
      <c r="AU67" t="s">
        <v>1611</v>
      </c>
      <c r="BC67">
        <v>1</v>
      </c>
      <c r="BD67">
        <v>6</v>
      </c>
      <c r="BE67">
        <v>0</v>
      </c>
      <c r="BF67">
        <v>3</v>
      </c>
      <c r="BG67">
        <v>10</v>
      </c>
      <c r="BI67" s="1">
        <v>16406</v>
      </c>
      <c r="BJ67">
        <v>14</v>
      </c>
      <c r="BK67">
        <v>0</v>
      </c>
      <c r="BL67">
        <v>14</v>
      </c>
      <c r="BM67">
        <v>29.95</v>
      </c>
      <c r="BN67">
        <v>43.95</v>
      </c>
      <c r="BO67" s="3">
        <v>0.31850000000000001</v>
      </c>
      <c r="BP67">
        <v>995</v>
      </c>
      <c r="BQ67" s="4">
        <v>73011</v>
      </c>
      <c r="BT67" s="1">
        <v>61259</v>
      </c>
      <c r="BU67" s="4">
        <v>44805</v>
      </c>
      <c r="BV67" s="4">
        <v>49901</v>
      </c>
      <c r="BW67" s="4">
        <v>47353</v>
      </c>
      <c r="BY67" s="4">
        <v>42205</v>
      </c>
      <c r="BZ67" s="4">
        <v>42205</v>
      </c>
      <c r="CA67" s="4">
        <v>42205</v>
      </c>
      <c r="CC67" s="4">
        <v>43494</v>
      </c>
      <c r="CD67" s="4">
        <v>43494</v>
      </c>
      <c r="CE67" s="1">
        <v>43494</v>
      </c>
      <c r="CG67" s="4">
        <v>44805</v>
      </c>
      <c r="CH67" s="4">
        <v>44805</v>
      </c>
      <c r="CI67" s="4">
        <v>44805</v>
      </c>
      <c r="CK67" s="4">
        <v>0</v>
      </c>
      <c r="CL67" s="4">
        <v>0</v>
      </c>
      <c r="CM67">
        <v>0</v>
      </c>
      <c r="CO67" s="4">
        <v>44805</v>
      </c>
      <c r="CP67" s="4">
        <v>45699</v>
      </c>
      <c r="CQ67" s="4">
        <v>45252</v>
      </c>
      <c r="CR67" s="4">
        <v>40166</v>
      </c>
      <c r="CS67" s="4">
        <v>40166</v>
      </c>
      <c r="CT67" s="4">
        <v>40166</v>
      </c>
      <c r="CV67" s="4">
        <v>42205</v>
      </c>
      <c r="CW67" s="4">
        <v>44805</v>
      </c>
      <c r="CX67" s="4">
        <v>43505</v>
      </c>
      <c r="CZ67" s="4">
        <v>0</v>
      </c>
      <c r="DA67" s="4">
        <v>0</v>
      </c>
      <c r="DB67" s="4">
        <v>0</v>
      </c>
      <c r="DD67" s="4">
        <v>0</v>
      </c>
      <c r="DE67" s="4">
        <v>0</v>
      </c>
      <c r="DF67" s="4">
        <v>0</v>
      </c>
      <c r="DH67" s="4">
        <v>0</v>
      </c>
      <c r="DI67" s="4">
        <v>0</v>
      </c>
      <c r="DJ67" s="4">
        <v>0</v>
      </c>
      <c r="DK67" s="4">
        <v>43536</v>
      </c>
      <c r="DL67" s="4">
        <v>43536</v>
      </c>
      <c r="DM67" s="4">
        <v>43536</v>
      </c>
      <c r="DO67" s="4">
        <v>21092</v>
      </c>
      <c r="DP67" s="4">
        <v>38690</v>
      </c>
      <c r="DQ67" s="4">
        <v>28304</v>
      </c>
      <c r="DS67" s="4">
        <v>41747</v>
      </c>
      <c r="DT67" s="4">
        <v>41747</v>
      </c>
      <c r="DU67" s="4">
        <v>41747</v>
      </c>
      <c r="DV67" s="4">
        <v>717553</v>
      </c>
      <c r="DW67" s="4">
        <v>1941178</v>
      </c>
      <c r="DX67" s="4">
        <v>2658731</v>
      </c>
      <c r="DY67" s="4">
        <v>182414</v>
      </c>
      <c r="DZ67" s="4">
        <v>0</v>
      </c>
      <c r="EA67" s="4">
        <v>182414</v>
      </c>
      <c r="EB67" s="4">
        <v>0</v>
      </c>
      <c r="EC67" s="4">
        <v>0</v>
      </c>
      <c r="ED67" s="4">
        <v>0</v>
      </c>
      <c r="EE67" s="4">
        <v>142765</v>
      </c>
      <c r="EF67" s="4">
        <v>2983910</v>
      </c>
      <c r="EG67" s="4">
        <v>1648190</v>
      </c>
      <c r="EH67" s="4">
        <v>517123</v>
      </c>
      <c r="EI67" s="4">
        <v>2165313</v>
      </c>
      <c r="EJ67" s="4">
        <v>177390</v>
      </c>
      <c r="EK67" s="4">
        <v>48194</v>
      </c>
      <c r="EL67" s="4">
        <v>27500</v>
      </c>
      <c r="EM67" s="4">
        <v>253084</v>
      </c>
      <c r="EN67" s="4">
        <v>532902</v>
      </c>
      <c r="EO67" s="4">
        <v>2951299</v>
      </c>
      <c r="EP67" s="4">
        <v>32611</v>
      </c>
      <c r="EQ67" s="3">
        <v>1.09E-2</v>
      </c>
      <c r="ER67" s="4">
        <v>0</v>
      </c>
      <c r="ES67" s="4">
        <v>0</v>
      </c>
      <c r="ET67" s="4">
        <v>0</v>
      </c>
      <c r="EU67" s="4">
        <v>0</v>
      </c>
      <c r="EV67" s="4">
        <v>0</v>
      </c>
      <c r="EW67" s="4">
        <v>0</v>
      </c>
      <c r="EX67" s="1">
        <v>44674</v>
      </c>
      <c r="EY67" s="1">
        <v>385370</v>
      </c>
      <c r="EZ67" s="1">
        <v>75981</v>
      </c>
      <c r="FA67" s="1">
        <v>11828</v>
      </c>
      <c r="FB67" s="1">
        <v>64257</v>
      </c>
      <c r="FC67" s="1">
        <v>78720</v>
      </c>
      <c r="FD67" s="1">
        <v>3371</v>
      </c>
      <c r="FE67" s="1">
        <v>21309</v>
      </c>
      <c r="FF67" s="1">
        <v>154701</v>
      </c>
      <c r="FG67" s="1">
        <v>15199</v>
      </c>
      <c r="FH67" s="1">
        <v>85566</v>
      </c>
      <c r="FI67" s="1">
        <v>255466</v>
      </c>
      <c r="FJ67">
        <v>0</v>
      </c>
      <c r="FK67">
        <v>280</v>
      </c>
      <c r="FM67" s="1">
        <v>255466</v>
      </c>
      <c r="FN67" s="1">
        <v>8640</v>
      </c>
      <c r="FO67" s="1">
        <v>23535</v>
      </c>
      <c r="FP67" s="1">
        <v>1467</v>
      </c>
      <c r="FQ67">
        <v>8</v>
      </c>
      <c r="FR67">
        <v>88</v>
      </c>
      <c r="FS67">
        <v>96</v>
      </c>
      <c r="FT67" s="1">
        <v>44141</v>
      </c>
      <c r="FU67" s="1">
        <v>3505</v>
      </c>
      <c r="FV67">
        <v>0</v>
      </c>
      <c r="FW67">
        <v>0</v>
      </c>
      <c r="FX67" s="1">
        <v>8544</v>
      </c>
      <c r="FY67" s="1">
        <v>1573</v>
      </c>
      <c r="FZ67">
        <v>322</v>
      </c>
      <c r="GA67">
        <v>0</v>
      </c>
      <c r="GE67">
        <v>0</v>
      </c>
      <c r="GJ67" s="1">
        <v>28747</v>
      </c>
      <c r="GK67" s="1">
        <v>8994</v>
      </c>
      <c r="GL67">
        <v>0</v>
      </c>
      <c r="GM67">
        <v>60</v>
      </c>
      <c r="GN67" s="1">
        <v>81432</v>
      </c>
      <c r="GO67" s="1">
        <v>14072</v>
      </c>
      <c r="GP67">
        <v>322</v>
      </c>
      <c r="GQ67">
        <v>60</v>
      </c>
      <c r="GR67">
        <v>101</v>
      </c>
      <c r="GT67" s="1">
        <v>135848</v>
      </c>
      <c r="GU67" s="1">
        <v>19673</v>
      </c>
      <c r="GV67" s="1">
        <v>123454</v>
      </c>
      <c r="GW67" s="1">
        <v>46258</v>
      </c>
      <c r="GX67" s="1">
        <v>1881</v>
      </c>
      <c r="GY67" s="1">
        <v>24064</v>
      </c>
      <c r="GZ67" s="1">
        <v>182106</v>
      </c>
      <c r="HA67" s="1">
        <v>21554</v>
      </c>
      <c r="HB67" s="1">
        <v>147518</v>
      </c>
      <c r="HC67" s="1">
        <v>351178</v>
      </c>
      <c r="HD67" s="1">
        <v>1377</v>
      </c>
      <c r="HE67" s="1">
        <v>352555</v>
      </c>
      <c r="HF67" s="1">
        <v>12250</v>
      </c>
      <c r="HG67" s="1">
        <v>130124</v>
      </c>
      <c r="HH67">
        <v>0</v>
      </c>
      <c r="HI67">
        <v>0</v>
      </c>
      <c r="HJ67" s="1">
        <v>142374</v>
      </c>
      <c r="HK67" s="1">
        <v>494929</v>
      </c>
      <c r="HL67">
        <v>222</v>
      </c>
      <c r="HM67" s="1">
        <v>24143</v>
      </c>
      <c r="HN67" s="1">
        <v>24365</v>
      </c>
      <c r="HO67" s="1">
        <v>1246</v>
      </c>
      <c r="HP67" s="1">
        <v>5994</v>
      </c>
      <c r="HQ67" s="1">
        <v>7240</v>
      </c>
      <c r="HR67">
        <v>0</v>
      </c>
      <c r="HS67">
        <v>0</v>
      </c>
      <c r="HT67">
        <v>0</v>
      </c>
      <c r="HU67" s="1">
        <v>2270</v>
      </c>
      <c r="HV67" s="1">
        <v>33875</v>
      </c>
      <c r="HW67" s="1">
        <v>19870</v>
      </c>
      <c r="HX67" s="1">
        <v>51908</v>
      </c>
      <c r="HY67" s="1">
        <v>71778</v>
      </c>
      <c r="HZ67" s="1">
        <v>105653</v>
      </c>
      <c r="IA67" s="1">
        <v>19490</v>
      </c>
      <c r="IB67" s="1">
        <v>149614</v>
      </c>
      <c r="IC67" s="1">
        <v>528804</v>
      </c>
      <c r="ID67" s="1">
        <v>528804</v>
      </c>
      <c r="IE67" s="1">
        <v>600582</v>
      </c>
      <c r="IF67" s="1">
        <v>190569</v>
      </c>
      <c r="IG67">
        <v>25</v>
      </c>
      <c r="IJ67">
        <v>1</v>
      </c>
      <c r="IK67" s="3">
        <v>6.1899999999999997E-2</v>
      </c>
      <c r="IL67" s="3">
        <v>6.9999999999999999E-4</v>
      </c>
      <c r="IM67" s="3">
        <v>0.24879999999999999</v>
      </c>
      <c r="IN67" s="3">
        <v>0</v>
      </c>
      <c r="IO67" s="3">
        <v>0.21129999999999999</v>
      </c>
      <c r="IP67" s="3">
        <v>2.0000000000000001E-4</v>
      </c>
      <c r="IQ67" s="3">
        <v>0.66290000000000004</v>
      </c>
      <c r="IR67" s="3">
        <v>5.8900000000000001E-2</v>
      </c>
      <c r="IS67" s="3">
        <v>0.3604</v>
      </c>
      <c r="IT67" s="1">
        <v>92255</v>
      </c>
      <c r="IU67" s="1">
        <v>50804</v>
      </c>
      <c r="IV67" s="1">
        <v>143059</v>
      </c>
      <c r="IW67" s="3">
        <v>1.0008999999999999</v>
      </c>
      <c r="IX67" s="1">
        <v>512094</v>
      </c>
      <c r="IZ67">
        <v>169</v>
      </c>
      <c r="JA67">
        <v>93</v>
      </c>
      <c r="JB67" s="1">
        <v>1058</v>
      </c>
      <c r="JC67">
        <v>39</v>
      </c>
      <c r="JD67">
        <v>2</v>
      </c>
      <c r="JE67">
        <v>535</v>
      </c>
      <c r="JF67">
        <v>208</v>
      </c>
      <c r="JG67">
        <v>95</v>
      </c>
      <c r="JH67" s="1">
        <v>1593</v>
      </c>
      <c r="JI67" s="1">
        <v>1896</v>
      </c>
      <c r="JJ67" s="1">
        <v>1320</v>
      </c>
      <c r="JK67">
        <v>576</v>
      </c>
      <c r="JL67" s="1">
        <v>2976</v>
      </c>
      <c r="JM67">
        <v>638</v>
      </c>
      <c r="JN67" s="1">
        <v>24336</v>
      </c>
      <c r="JO67" s="1">
        <v>1393</v>
      </c>
      <c r="JP67">
        <v>115</v>
      </c>
      <c r="JQ67" s="1">
        <v>17859</v>
      </c>
      <c r="JR67" s="1">
        <v>4369</v>
      </c>
      <c r="JS67">
        <v>753</v>
      </c>
      <c r="JT67" s="1">
        <v>42195</v>
      </c>
      <c r="JU67" s="1">
        <v>47317</v>
      </c>
      <c r="JV67" s="1">
        <v>27950</v>
      </c>
      <c r="JW67" s="1">
        <v>19367</v>
      </c>
      <c r="JX67">
        <v>24.96</v>
      </c>
      <c r="JY67">
        <v>21</v>
      </c>
      <c r="JZ67">
        <v>26.49</v>
      </c>
      <c r="KA67">
        <v>0.09</v>
      </c>
      <c r="KB67">
        <v>0.89</v>
      </c>
      <c r="KC67">
        <v>1</v>
      </c>
      <c r="KD67">
        <v>10</v>
      </c>
      <c r="KE67">
        <v>22</v>
      </c>
      <c r="KF67">
        <v>194</v>
      </c>
      <c r="KG67">
        <v>662</v>
      </c>
      <c r="KH67" s="1">
        <v>17300</v>
      </c>
      <c r="KI67">
        <v>0</v>
      </c>
      <c r="KJ67">
        <v>0</v>
      </c>
      <c r="KK67">
        <v>126</v>
      </c>
      <c r="KL67" s="1">
        <v>3748</v>
      </c>
      <c r="KM67" s="1">
        <v>99735</v>
      </c>
      <c r="KN67" s="1">
        <v>36112</v>
      </c>
      <c r="KO67" s="1">
        <v>6567</v>
      </c>
      <c r="KQ67" s="1">
        <v>1646</v>
      </c>
      <c r="KR67" s="1">
        <v>7010</v>
      </c>
      <c r="KS67">
        <v>290</v>
      </c>
      <c r="KT67">
        <v>133</v>
      </c>
      <c r="KU67">
        <v>81</v>
      </c>
      <c r="KV67">
        <v>156</v>
      </c>
      <c r="KW67" s="1">
        <v>92961</v>
      </c>
      <c r="KY67" s="1">
        <v>194813</v>
      </c>
      <c r="KZ67" s="1">
        <v>33130</v>
      </c>
      <c r="LC67" t="s">
        <v>1601</v>
      </c>
      <c r="LD67" t="s">
        <v>709</v>
      </c>
      <c r="LE67" t="s">
        <v>1599</v>
      </c>
      <c r="LF67" t="s">
        <v>1600</v>
      </c>
      <c r="LG67">
        <v>27203</v>
      </c>
      <c r="LH67">
        <v>5557</v>
      </c>
      <c r="LI67" t="s">
        <v>1599</v>
      </c>
      <c r="LJ67" t="s">
        <v>1600</v>
      </c>
      <c r="LK67">
        <v>27203</v>
      </c>
      <c r="LL67">
        <v>5557</v>
      </c>
      <c r="LM67" t="s">
        <v>1602</v>
      </c>
      <c r="LN67">
        <v>3363186800</v>
      </c>
      <c r="LO67">
        <v>3363186823</v>
      </c>
      <c r="LP67" s="1">
        <v>66712</v>
      </c>
      <c r="LQ67">
        <v>43.95</v>
      </c>
      <c r="LS67" s="1">
        <v>16406</v>
      </c>
      <c r="LT67">
        <v>364</v>
      </c>
      <c r="LW67">
        <v>2</v>
      </c>
      <c r="LX67" t="s">
        <v>1612</v>
      </c>
      <c r="LY67">
        <v>0</v>
      </c>
      <c r="LZ67" t="s">
        <v>691</v>
      </c>
      <c r="MA67">
        <v>50</v>
      </c>
      <c r="MB67">
        <v>5</v>
      </c>
    </row>
    <row r="68" spans="1:340" x14ac:dyDescent="0.25">
      <c r="A68" t="s">
        <v>1613</v>
      </c>
      <c r="B68">
        <v>0</v>
      </c>
      <c r="C68">
        <v>1375</v>
      </c>
      <c r="D68">
        <v>2017</v>
      </c>
      <c r="E68">
        <v>0</v>
      </c>
      <c r="F68" t="s">
        <v>1613</v>
      </c>
      <c r="G68" t="s">
        <v>1614</v>
      </c>
      <c r="H68" t="s">
        <v>1615</v>
      </c>
      <c r="I68" t="s">
        <v>899</v>
      </c>
      <c r="J68" t="s">
        <v>870</v>
      </c>
      <c r="K68" t="s">
        <v>671</v>
      </c>
      <c r="L68" t="s">
        <v>900</v>
      </c>
      <c r="M68" t="s">
        <v>673</v>
      </c>
      <c r="N68" s="1">
        <v>15186</v>
      </c>
      <c r="O68" t="s">
        <v>806</v>
      </c>
      <c r="P68">
        <v>38</v>
      </c>
      <c r="Q68">
        <v>5</v>
      </c>
      <c r="R68">
        <v>24</v>
      </c>
      <c r="S68">
        <v>5</v>
      </c>
      <c r="T68">
        <v>504</v>
      </c>
      <c r="U68">
        <v>6</v>
      </c>
      <c r="V68" s="1">
        <v>1900</v>
      </c>
      <c r="W68">
        <v>254</v>
      </c>
      <c r="X68" s="1">
        <v>9390</v>
      </c>
      <c r="Y68">
        <v>780</v>
      </c>
      <c r="Z68" t="s">
        <v>1616</v>
      </c>
      <c r="AA68" t="s">
        <v>1617</v>
      </c>
      <c r="AB68">
        <v>27870</v>
      </c>
      <c r="AC68">
        <v>1917</v>
      </c>
      <c r="AD68" t="s">
        <v>1616</v>
      </c>
      <c r="AE68" t="s">
        <v>1617</v>
      </c>
      <c r="AF68">
        <v>27870</v>
      </c>
      <c r="AG68">
        <v>1</v>
      </c>
      <c r="AH68" t="s">
        <v>1618</v>
      </c>
      <c r="AJ68" t="s">
        <v>904</v>
      </c>
      <c r="AK68" t="s">
        <v>1221</v>
      </c>
      <c r="AL68" t="s">
        <v>1619</v>
      </c>
      <c r="AM68" t="s">
        <v>1620</v>
      </c>
      <c r="AO68" t="s">
        <v>1621</v>
      </c>
      <c r="AP68" t="s">
        <v>1619</v>
      </c>
      <c r="AQ68" t="s">
        <v>1622</v>
      </c>
      <c r="AR68" t="s">
        <v>1620</v>
      </c>
      <c r="AT68" t="s">
        <v>1621</v>
      </c>
      <c r="AU68" t="s">
        <v>1623</v>
      </c>
      <c r="BC68">
        <v>1</v>
      </c>
      <c r="BD68">
        <v>0</v>
      </c>
      <c r="BE68">
        <v>0</v>
      </c>
      <c r="BF68">
        <v>0</v>
      </c>
      <c r="BG68">
        <v>1</v>
      </c>
      <c r="BI68" s="1">
        <v>2346</v>
      </c>
      <c r="BJ68">
        <v>1</v>
      </c>
      <c r="BK68">
        <v>0</v>
      </c>
      <c r="BL68">
        <v>1</v>
      </c>
      <c r="BM68">
        <v>4.05</v>
      </c>
      <c r="BN68">
        <v>5.05</v>
      </c>
      <c r="BO68" s="3">
        <v>0.19800000000000001</v>
      </c>
      <c r="BP68">
        <v>818</v>
      </c>
      <c r="BQ68" s="4">
        <v>47943</v>
      </c>
      <c r="CZ68" s="4">
        <v>35260</v>
      </c>
      <c r="DA68" s="4">
        <v>52366</v>
      </c>
      <c r="DB68" s="4">
        <v>39683</v>
      </c>
      <c r="DK68" s="4">
        <v>27283</v>
      </c>
      <c r="DL68" s="4">
        <v>40473</v>
      </c>
      <c r="DM68" s="4">
        <v>27283</v>
      </c>
      <c r="DO68" s="4">
        <v>22383</v>
      </c>
      <c r="DP68" s="4">
        <v>33240</v>
      </c>
      <c r="DQ68" s="4">
        <v>22383</v>
      </c>
      <c r="DV68" s="4">
        <v>273795</v>
      </c>
      <c r="DW68" s="4">
        <v>0</v>
      </c>
      <c r="DX68" s="4">
        <v>273795</v>
      </c>
      <c r="DY68" s="4">
        <v>13182</v>
      </c>
      <c r="DZ68" s="4">
        <v>0</v>
      </c>
      <c r="EA68" s="4">
        <v>13182</v>
      </c>
      <c r="EB68" s="4">
        <v>0</v>
      </c>
      <c r="EC68" s="4">
        <v>0</v>
      </c>
      <c r="ED68" s="4">
        <v>0</v>
      </c>
      <c r="EE68" s="4">
        <v>7022</v>
      </c>
      <c r="EF68" s="4">
        <v>293999</v>
      </c>
      <c r="EG68" s="4">
        <v>158916</v>
      </c>
      <c r="EH68" s="4">
        <v>48170</v>
      </c>
      <c r="EI68" s="4">
        <v>207086</v>
      </c>
      <c r="EJ68" s="4">
        <v>19678</v>
      </c>
      <c r="EK68" s="4">
        <v>1650</v>
      </c>
      <c r="EL68" s="4">
        <v>8964</v>
      </c>
      <c r="EM68" s="4">
        <v>30292</v>
      </c>
      <c r="EN68" s="4">
        <v>56621</v>
      </c>
      <c r="EO68" s="4">
        <v>293999</v>
      </c>
      <c r="EP68" s="4">
        <v>0</v>
      </c>
      <c r="EQ68" s="3">
        <v>0</v>
      </c>
      <c r="ER68" s="4">
        <v>19345</v>
      </c>
      <c r="ES68" s="4">
        <v>0</v>
      </c>
      <c r="ET68" s="4">
        <v>0</v>
      </c>
      <c r="EU68" s="4">
        <v>0</v>
      </c>
      <c r="EV68" s="4">
        <v>19345</v>
      </c>
      <c r="EW68" s="4">
        <v>19345</v>
      </c>
      <c r="EX68" s="1">
        <v>8743</v>
      </c>
      <c r="EY68" s="1">
        <v>126573</v>
      </c>
      <c r="EZ68" s="1">
        <v>11291</v>
      </c>
      <c r="FA68" s="1">
        <v>2655</v>
      </c>
      <c r="FB68" s="1">
        <v>9146</v>
      </c>
      <c r="FC68" s="1">
        <v>7663</v>
      </c>
      <c r="FD68">
        <v>684</v>
      </c>
      <c r="FE68" s="1">
        <v>4365</v>
      </c>
      <c r="FF68" s="1">
        <v>18954</v>
      </c>
      <c r="FG68" s="1">
        <v>3339</v>
      </c>
      <c r="FH68" s="1">
        <v>13511</v>
      </c>
      <c r="FI68" s="1">
        <v>35804</v>
      </c>
      <c r="FJ68">
        <v>176</v>
      </c>
      <c r="FK68">
        <v>47</v>
      </c>
      <c r="FM68" s="1">
        <v>35804</v>
      </c>
      <c r="FN68">
        <v>900</v>
      </c>
      <c r="FO68" s="1">
        <v>2591</v>
      </c>
      <c r="FP68">
        <v>-1</v>
      </c>
      <c r="FQ68">
        <v>0</v>
      </c>
      <c r="FR68">
        <v>88</v>
      </c>
      <c r="FS68">
        <v>88</v>
      </c>
      <c r="FT68" s="1">
        <v>44141</v>
      </c>
      <c r="FU68" s="1">
        <v>3505</v>
      </c>
      <c r="FV68">
        <v>0</v>
      </c>
      <c r="FW68">
        <v>0</v>
      </c>
      <c r="FX68" s="1">
        <v>8544</v>
      </c>
      <c r="FY68" s="1">
        <v>1573</v>
      </c>
      <c r="FZ68">
        <v>322</v>
      </c>
      <c r="GA68">
        <v>0</v>
      </c>
      <c r="GB68" s="1">
        <v>26436</v>
      </c>
      <c r="GC68" s="1">
        <v>1747</v>
      </c>
      <c r="GD68">
        <v>278</v>
      </c>
      <c r="GE68">
        <v>42</v>
      </c>
      <c r="GJ68">
        <v>380</v>
      </c>
      <c r="GK68">
        <v>0</v>
      </c>
      <c r="GL68">
        <v>0</v>
      </c>
      <c r="GM68">
        <v>0</v>
      </c>
      <c r="GN68" s="1">
        <v>79501</v>
      </c>
      <c r="GO68" s="1">
        <v>6825</v>
      </c>
      <c r="GP68">
        <v>600</v>
      </c>
      <c r="GQ68">
        <v>42</v>
      </c>
      <c r="GR68">
        <v>11</v>
      </c>
      <c r="GT68" s="1">
        <v>12836</v>
      </c>
      <c r="GU68">
        <v>818</v>
      </c>
      <c r="GV68" s="1">
        <v>7415</v>
      </c>
      <c r="GW68" s="1">
        <v>1839</v>
      </c>
      <c r="GX68">
        <v>169</v>
      </c>
      <c r="GY68">
        <v>835</v>
      </c>
      <c r="GZ68" s="1">
        <v>14675</v>
      </c>
      <c r="HA68">
        <v>987</v>
      </c>
      <c r="HB68" s="1">
        <v>8250</v>
      </c>
      <c r="HC68" s="1">
        <v>23912</v>
      </c>
      <c r="HD68">
        <v>242</v>
      </c>
      <c r="HE68" s="1">
        <v>24237</v>
      </c>
      <c r="HF68" s="1">
        <v>1065</v>
      </c>
      <c r="HG68" s="1">
        <v>2793</v>
      </c>
      <c r="HH68">
        <v>83</v>
      </c>
      <c r="HI68">
        <v>35</v>
      </c>
      <c r="HJ68" s="1">
        <v>3893</v>
      </c>
      <c r="HK68" s="1">
        <v>28130</v>
      </c>
      <c r="HL68">
        <v>11</v>
      </c>
      <c r="HM68">
        <v>240</v>
      </c>
      <c r="HN68">
        <v>251</v>
      </c>
      <c r="HO68">
        <v>30</v>
      </c>
      <c r="HP68">
        <v>16</v>
      </c>
      <c r="HQ68">
        <v>46</v>
      </c>
      <c r="HR68">
        <v>0</v>
      </c>
      <c r="HS68">
        <v>2</v>
      </c>
      <c r="HT68">
        <v>2</v>
      </c>
      <c r="HU68">
        <v>0</v>
      </c>
      <c r="HV68">
        <v>299</v>
      </c>
      <c r="HW68">
        <v>112</v>
      </c>
      <c r="HX68">
        <v>0</v>
      </c>
      <c r="HY68">
        <v>112</v>
      </c>
      <c r="HZ68">
        <v>411</v>
      </c>
      <c r="IA68" s="1">
        <v>1111</v>
      </c>
      <c r="IB68" s="1">
        <v>3906</v>
      </c>
      <c r="IC68" s="1">
        <v>28429</v>
      </c>
      <c r="ID68" s="1">
        <v>28429</v>
      </c>
      <c r="IE68" s="1">
        <v>28541</v>
      </c>
      <c r="IF68" s="1">
        <v>9343</v>
      </c>
      <c r="IG68">
        <v>20</v>
      </c>
      <c r="IJ68">
        <v>1</v>
      </c>
      <c r="IK68" s="3">
        <v>2.52E-2</v>
      </c>
      <c r="IL68" s="3">
        <v>4.0000000000000002E-4</v>
      </c>
      <c r="IM68" s="3">
        <v>0.68710000000000004</v>
      </c>
      <c r="IN68" s="3">
        <v>0</v>
      </c>
      <c r="IO68" s="3">
        <v>0.62809999999999999</v>
      </c>
      <c r="IP68" s="3">
        <v>6.9999999999999999E-4</v>
      </c>
      <c r="IQ68" s="3">
        <v>0.28289999999999998</v>
      </c>
      <c r="IR68" s="3">
        <v>6.0999999999999999E-2</v>
      </c>
      <c r="IS68" s="3">
        <v>0.3286</v>
      </c>
      <c r="IT68" s="1">
        <v>7448</v>
      </c>
      <c r="IU68">
        <v>914</v>
      </c>
      <c r="IV68" s="1">
        <v>8362</v>
      </c>
      <c r="IW68" s="3">
        <v>0.55059999999999998</v>
      </c>
      <c r="IX68" s="1">
        <v>25450</v>
      </c>
      <c r="IZ68">
        <v>58</v>
      </c>
      <c r="JA68">
        <v>28</v>
      </c>
      <c r="JB68">
        <v>64</v>
      </c>
      <c r="JC68">
        <v>6</v>
      </c>
      <c r="JD68">
        <v>1</v>
      </c>
      <c r="JE68">
        <v>2</v>
      </c>
      <c r="JF68">
        <v>64</v>
      </c>
      <c r="JG68">
        <v>29</v>
      </c>
      <c r="JH68">
        <v>66</v>
      </c>
      <c r="JI68">
        <v>159</v>
      </c>
      <c r="JJ68">
        <v>150</v>
      </c>
      <c r="JK68">
        <v>9</v>
      </c>
      <c r="JL68">
        <v>702</v>
      </c>
      <c r="JM68">
        <v>265</v>
      </c>
      <c r="JN68" s="1">
        <v>1697</v>
      </c>
      <c r="JO68">
        <v>140</v>
      </c>
      <c r="JP68">
        <v>5</v>
      </c>
      <c r="JQ68">
        <v>338</v>
      </c>
      <c r="JR68">
        <v>842</v>
      </c>
      <c r="JS68">
        <v>270</v>
      </c>
      <c r="JT68" s="1">
        <v>2035</v>
      </c>
      <c r="JU68" s="1">
        <v>3147</v>
      </c>
      <c r="JV68" s="1">
        <v>2664</v>
      </c>
      <c r="JW68">
        <v>483</v>
      </c>
      <c r="JX68">
        <v>19.79</v>
      </c>
      <c r="JY68">
        <v>13.16</v>
      </c>
      <c r="JZ68">
        <v>30.83</v>
      </c>
      <c r="KA68">
        <v>0.27</v>
      </c>
      <c r="KB68">
        <v>0.65</v>
      </c>
      <c r="KC68">
        <v>0</v>
      </c>
      <c r="KD68">
        <v>0</v>
      </c>
      <c r="KE68">
        <v>0</v>
      </c>
      <c r="KF68">
        <v>0</v>
      </c>
      <c r="KG68">
        <v>50</v>
      </c>
      <c r="KH68">
        <v>768</v>
      </c>
      <c r="KI68">
        <v>20</v>
      </c>
      <c r="KJ68">
        <v>93</v>
      </c>
      <c r="KK68">
        <v>5</v>
      </c>
      <c r="KL68">
        <v>165</v>
      </c>
      <c r="KM68" s="1">
        <v>18778</v>
      </c>
      <c r="KN68" s="1">
        <v>4173</v>
      </c>
      <c r="KO68">
        <v>602</v>
      </c>
      <c r="KQ68">
        <v>9</v>
      </c>
      <c r="KR68">
        <v>61</v>
      </c>
      <c r="KS68">
        <v>27</v>
      </c>
      <c r="KT68">
        <v>18</v>
      </c>
      <c r="KU68">
        <v>8</v>
      </c>
      <c r="KV68">
        <v>13</v>
      </c>
      <c r="KW68" s="1">
        <v>5384</v>
      </c>
      <c r="KY68" s="1">
        <v>35000</v>
      </c>
      <c r="LC68" t="s">
        <v>1618</v>
      </c>
      <c r="LD68" t="s">
        <v>689</v>
      </c>
      <c r="LE68" t="s">
        <v>1616</v>
      </c>
      <c r="LF68" t="s">
        <v>1617</v>
      </c>
      <c r="LG68">
        <v>27870</v>
      </c>
      <c r="LH68">
        <v>1917</v>
      </c>
      <c r="LI68" t="s">
        <v>1616</v>
      </c>
      <c r="LJ68" t="s">
        <v>1617</v>
      </c>
      <c r="LK68">
        <v>27870</v>
      </c>
      <c r="LL68">
        <v>1917</v>
      </c>
      <c r="LM68" t="s">
        <v>1221</v>
      </c>
      <c r="LN68">
        <v>2525332890</v>
      </c>
      <c r="LP68" s="1">
        <v>7550</v>
      </c>
      <c r="LQ68">
        <v>5.05</v>
      </c>
      <c r="LS68" s="1">
        <v>2346</v>
      </c>
      <c r="LT68">
        <v>50</v>
      </c>
      <c r="LW68">
        <v>2</v>
      </c>
      <c r="LX68" t="s">
        <v>1624</v>
      </c>
      <c r="LY68">
        <v>0</v>
      </c>
      <c r="LZ68" t="s">
        <v>691</v>
      </c>
      <c r="MA68">
        <v>64.39</v>
      </c>
      <c r="MB68">
        <v>4.3600000000000003</v>
      </c>
    </row>
    <row r="69" spans="1:340" x14ac:dyDescent="0.25">
      <c r="A69" t="s">
        <v>1625</v>
      </c>
      <c r="B69">
        <v>0</v>
      </c>
      <c r="C69">
        <v>1375</v>
      </c>
      <c r="D69">
        <v>2017</v>
      </c>
      <c r="E69">
        <v>0</v>
      </c>
      <c r="F69" t="s">
        <v>1625</v>
      </c>
      <c r="G69" t="s">
        <v>1626</v>
      </c>
      <c r="H69" t="s">
        <v>668</v>
      </c>
      <c r="I69" t="s">
        <v>1367</v>
      </c>
      <c r="J69" t="s">
        <v>670</v>
      </c>
      <c r="K69" t="s">
        <v>671</v>
      </c>
      <c r="L69" t="s">
        <v>672</v>
      </c>
      <c r="M69" t="s">
        <v>673</v>
      </c>
      <c r="N69" s="1">
        <v>133375</v>
      </c>
      <c r="O69" t="s">
        <v>674</v>
      </c>
      <c r="P69">
        <v>246</v>
      </c>
      <c r="Q69">
        <v>89</v>
      </c>
      <c r="R69">
        <v>75</v>
      </c>
      <c r="S69">
        <v>0</v>
      </c>
      <c r="T69" s="1">
        <v>1049</v>
      </c>
      <c r="U69">
        <v>0</v>
      </c>
      <c r="V69" s="1">
        <v>15319</v>
      </c>
      <c r="W69" s="1">
        <v>1546</v>
      </c>
      <c r="X69" s="1">
        <v>58000</v>
      </c>
      <c r="Y69" s="1">
        <v>8000</v>
      </c>
      <c r="Z69" t="s">
        <v>1627</v>
      </c>
      <c r="AA69" t="s">
        <v>1628</v>
      </c>
      <c r="AB69">
        <v>28359</v>
      </c>
      <c r="AC69">
        <v>988</v>
      </c>
      <c r="AD69" t="s">
        <v>1629</v>
      </c>
      <c r="AE69" t="s">
        <v>1628</v>
      </c>
      <c r="AF69">
        <v>28358</v>
      </c>
      <c r="AG69">
        <v>1</v>
      </c>
      <c r="AH69" t="s">
        <v>1630</v>
      </c>
      <c r="AJ69" t="s">
        <v>35</v>
      </c>
      <c r="AK69" t="s">
        <v>1631</v>
      </c>
      <c r="AL69" t="s">
        <v>1632</v>
      </c>
      <c r="AM69" t="s">
        <v>1633</v>
      </c>
      <c r="AN69" t="s">
        <v>1634</v>
      </c>
      <c r="AO69" t="s">
        <v>1635</v>
      </c>
      <c r="AP69" t="s">
        <v>1632</v>
      </c>
      <c r="AQ69" t="s">
        <v>706</v>
      </c>
      <c r="AR69" t="s">
        <v>1633</v>
      </c>
      <c r="AS69" t="s">
        <v>1634</v>
      </c>
      <c r="AT69" t="s">
        <v>1635</v>
      </c>
      <c r="AU69" t="s">
        <v>1636</v>
      </c>
      <c r="BC69">
        <v>1</v>
      </c>
      <c r="BD69">
        <v>6</v>
      </c>
      <c r="BE69">
        <v>0</v>
      </c>
      <c r="BF69">
        <v>2</v>
      </c>
      <c r="BG69">
        <v>9</v>
      </c>
      <c r="BI69" s="1">
        <v>12314</v>
      </c>
      <c r="BJ69">
        <v>5</v>
      </c>
      <c r="BK69">
        <v>0</v>
      </c>
      <c r="BL69">
        <v>5</v>
      </c>
      <c r="BM69">
        <v>14.85</v>
      </c>
      <c r="BN69">
        <v>19.850000000000001</v>
      </c>
      <c r="BO69" s="3">
        <v>0.25190000000000001</v>
      </c>
      <c r="BP69">
        <v>0</v>
      </c>
      <c r="BQ69" s="4">
        <v>65213</v>
      </c>
      <c r="BT69">
        <v>0</v>
      </c>
      <c r="BU69" s="4">
        <v>24960</v>
      </c>
      <c r="BV69" s="4">
        <v>36192</v>
      </c>
      <c r="BW69" s="4">
        <v>25651</v>
      </c>
      <c r="BY69" s="4">
        <v>37500</v>
      </c>
      <c r="BZ69" s="4">
        <v>58125</v>
      </c>
      <c r="CA69" s="4">
        <v>39207</v>
      </c>
      <c r="CC69" s="4">
        <v>37500</v>
      </c>
      <c r="CD69" s="4">
        <v>58125</v>
      </c>
      <c r="CE69" s="1">
        <v>41000</v>
      </c>
      <c r="CG69" s="4">
        <v>37500</v>
      </c>
      <c r="CH69" s="4">
        <v>58125</v>
      </c>
      <c r="CI69" s="4">
        <v>46980</v>
      </c>
      <c r="CO69" s="4">
        <v>37500</v>
      </c>
      <c r="CP69" s="4">
        <v>58125</v>
      </c>
      <c r="CQ69" s="4">
        <v>38500</v>
      </c>
      <c r="DK69" s="4">
        <v>24960</v>
      </c>
      <c r="DL69" s="4">
        <v>36192</v>
      </c>
      <c r="DM69" s="4">
        <v>28642</v>
      </c>
      <c r="DO69" s="4">
        <v>19760</v>
      </c>
      <c r="DP69" s="4">
        <v>27664</v>
      </c>
      <c r="DQ69" s="4">
        <v>21078</v>
      </c>
      <c r="DV69" s="4">
        <v>333930</v>
      </c>
      <c r="DW69" s="4">
        <v>560000</v>
      </c>
      <c r="DX69" s="4">
        <v>893930</v>
      </c>
      <c r="DY69" s="4">
        <v>213479</v>
      </c>
      <c r="DZ69" s="4">
        <v>0</v>
      </c>
      <c r="EA69" s="4">
        <v>213479</v>
      </c>
      <c r="EB69" s="4">
        <v>14236</v>
      </c>
      <c r="EC69" s="4">
        <v>0</v>
      </c>
      <c r="ED69" s="4">
        <v>14236</v>
      </c>
      <c r="EE69" s="4">
        <v>137560</v>
      </c>
      <c r="EF69" s="4">
        <v>1259205</v>
      </c>
      <c r="EG69" s="4">
        <v>593744</v>
      </c>
      <c r="EH69" s="4">
        <v>200926</v>
      </c>
      <c r="EI69" s="4">
        <v>794670</v>
      </c>
      <c r="EJ69" s="4">
        <v>87058</v>
      </c>
      <c r="EK69" s="4">
        <v>5219</v>
      </c>
      <c r="EL69" s="4">
        <v>11164</v>
      </c>
      <c r="EM69" s="4">
        <v>103441</v>
      </c>
      <c r="EN69" s="4">
        <v>280050</v>
      </c>
      <c r="EO69" s="4">
        <v>1178161</v>
      </c>
      <c r="EP69" s="4">
        <v>81044</v>
      </c>
      <c r="EQ69" s="3">
        <v>6.4399999999999999E-2</v>
      </c>
      <c r="ER69" s="4">
        <v>20000</v>
      </c>
      <c r="ES69" s="4">
        <v>0</v>
      </c>
      <c r="ET69" s="4">
        <v>0</v>
      </c>
      <c r="EU69" s="4">
        <v>0</v>
      </c>
      <c r="EV69" s="4">
        <v>20000</v>
      </c>
      <c r="EW69" s="4">
        <v>20000</v>
      </c>
      <c r="EX69" s="1">
        <v>9057</v>
      </c>
      <c r="EY69" s="1">
        <v>186345</v>
      </c>
      <c r="EZ69" s="1">
        <v>45744</v>
      </c>
      <c r="FA69" s="1">
        <v>4731</v>
      </c>
      <c r="FB69" s="1">
        <v>21207</v>
      </c>
      <c r="FC69" s="1">
        <v>39260</v>
      </c>
      <c r="FD69">
        <v>306</v>
      </c>
      <c r="FE69" s="1">
        <v>10632</v>
      </c>
      <c r="FF69" s="1">
        <v>85004</v>
      </c>
      <c r="FG69" s="1">
        <v>5037</v>
      </c>
      <c r="FH69" s="1">
        <v>31839</v>
      </c>
      <c r="FI69" s="1">
        <v>121880</v>
      </c>
      <c r="FJ69">
        <v>626</v>
      </c>
      <c r="FK69">
        <v>114</v>
      </c>
      <c r="FM69" s="1">
        <v>121880</v>
      </c>
      <c r="FN69">
        <v>760</v>
      </c>
      <c r="FO69" s="1">
        <v>4791</v>
      </c>
      <c r="FP69">
        <v>0</v>
      </c>
      <c r="FQ69">
        <v>1</v>
      </c>
      <c r="FR69">
        <v>88</v>
      </c>
      <c r="FS69">
        <v>89</v>
      </c>
      <c r="FT69" s="1">
        <v>44141</v>
      </c>
      <c r="FU69" s="1">
        <v>3505</v>
      </c>
      <c r="FV69">
        <v>0</v>
      </c>
      <c r="FW69">
        <v>0</v>
      </c>
      <c r="FX69" s="1">
        <v>8544</v>
      </c>
      <c r="FY69" s="1">
        <v>1573</v>
      </c>
      <c r="FZ69">
        <v>322</v>
      </c>
      <c r="GA69">
        <v>0</v>
      </c>
      <c r="GE69">
        <v>-1</v>
      </c>
      <c r="GJ69">
        <v>0</v>
      </c>
      <c r="GK69">
        <v>0</v>
      </c>
      <c r="GL69">
        <v>1</v>
      </c>
      <c r="GM69">
        <v>0</v>
      </c>
      <c r="GN69" s="1">
        <v>52685</v>
      </c>
      <c r="GO69" s="1">
        <v>5078</v>
      </c>
      <c r="GP69">
        <v>323</v>
      </c>
      <c r="GQ69">
        <v>-1</v>
      </c>
      <c r="GR69">
        <v>9</v>
      </c>
      <c r="GT69" s="1">
        <v>33693</v>
      </c>
      <c r="GU69" s="1">
        <v>5942</v>
      </c>
      <c r="GV69" s="1">
        <v>37561</v>
      </c>
      <c r="GW69" s="1">
        <v>9187</v>
      </c>
      <c r="GX69">
        <v>119</v>
      </c>
      <c r="GY69" s="1">
        <v>4977</v>
      </c>
      <c r="GZ69" s="1">
        <v>42880</v>
      </c>
      <c r="HA69" s="1">
        <v>6061</v>
      </c>
      <c r="HB69" s="1">
        <v>42538</v>
      </c>
      <c r="HC69" s="1">
        <v>91479</v>
      </c>
      <c r="HD69">
        <v>0</v>
      </c>
      <c r="HE69" s="1">
        <v>91479</v>
      </c>
      <c r="HF69" s="1">
        <v>1095</v>
      </c>
      <c r="HG69" s="1">
        <v>19174</v>
      </c>
      <c r="HH69">
        <v>0</v>
      </c>
      <c r="HI69">
        <v>0</v>
      </c>
      <c r="HJ69" s="1">
        <v>20269</v>
      </c>
      <c r="HK69" s="1">
        <v>111748</v>
      </c>
      <c r="HL69">
        <v>11</v>
      </c>
      <c r="HM69">
        <v>853</v>
      </c>
      <c r="HN69">
        <v>864</v>
      </c>
      <c r="HO69">
        <v>132</v>
      </c>
      <c r="HP69">
        <v>0</v>
      </c>
      <c r="HQ69">
        <v>132</v>
      </c>
      <c r="HR69">
        <v>0</v>
      </c>
      <c r="HS69">
        <v>0</v>
      </c>
      <c r="HT69">
        <v>0</v>
      </c>
      <c r="HU69">
        <v>0</v>
      </c>
      <c r="HV69">
        <v>996</v>
      </c>
      <c r="HW69" s="1">
        <v>2173</v>
      </c>
      <c r="HX69">
        <v>0</v>
      </c>
      <c r="HY69" s="1">
        <v>2173</v>
      </c>
      <c r="HZ69" s="1">
        <v>3169</v>
      </c>
      <c r="IA69" s="1">
        <v>1227</v>
      </c>
      <c r="IB69" s="1">
        <v>20401</v>
      </c>
      <c r="IC69" s="1">
        <v>112744</v>
      </c>
      <c r="ID69" s="1">
        <v>112744</v>
      </c>
      <c r="IE69" s="1">
        <v>114917</v>
      </c>
      <c r="IF69" s="1">
        <v>53315</v>
      </c>
      <c r="IG69">
        <v>105</v>
      </c>
      <c r="IJ69">
        <v>1</v>
      </c>
      <c r="IK69" s="3">
        <v>2.7400000000000001E-2</v>
      </c>
      <c r="IL69" s="3">
        <v>5.9999999999999995E-4</v>
      </c>
      <c r="IM69" s="3">
        <v>0.31169999999999998</v>
      </c>
      <c r="IN69" s="3">
        <v>0</v>
      </c>
      <c r="IO69" s="3">
        <v>0.28270000000000001</v>
      </c>
      <c r="IP69" s="3">
        <v>5.0000000000000001E-4</v>
      </c>
      <c r="IQ69" s="3">
        <v>0.65410000000000001</v>
      </c>
      <c r="IR69" s="3">
        <v>3.1300000000000001E-2</v>
      </c>
      <c r="IS69" s="3">
        <v>0.47289999999999999</v>
      </c>
      <c r="IT69" s="1">
        <v>18547</v>
      </c>
      <c r="IU69" s="1">
        <v>5776</v>
      </c>
      <c r="IV69" s="1">
        <v>24323</v>
      </c>
      <c r="IW69" s="3">
        <v>0.18240000000000001</v>
      </c>
      <c r="IX69" s="1">
        <v>127102</v>
      </c>
      <c r="IZ69">
        <v>128</v>
      </c>
      <c r="JA69">
        <v>5</v>
      </c>
      <c r="JB69">
        <v>206</v>
      </c>
      <c r="JC69">
        <v>2</v>
      </c>
      <c r="JD69">
        <v>11</v>
      </c>
      <c r="JE69">
        <v>48</v>
      </c>
      <c r="JF69">
        <v>130</v>
      </c>
      <c r="JG69">
        <v>16</v>
      </c>
      <c r="JH69">
        <v>254</v>
      </c>
      <c r="JI69">
        <v>400</v>
      </c>
      <c r="JJ69">
        <v>339</v>
      </c>
      <c r="JK69">
        <v>61</v>
      </c>
      <c r="JL69">
        <v>862</v>
      </c>
      <c r="JM69">
        <v>14</v>
      </c>
      <c r="JN69" s="1">
        <v>2850</v>
      </c>
      <c r="JO69">
        <v>200</v>
      </c>
      <c r="JP69">
        <v>755</v>
      </c>
      <c r="JQ69" s="1">
        <v>2876</v>
      </c>
      <c r="JR69" s="1">
        <v>1062</v>
      </c>
      <c r="JS69">
        <v>769</v>
      </c>
      <c r="JT69" s="1">
        <v>5726</v>
      </c>
      <c r="JU69" s="1">
        <v>7557</v>
      </c>
      <c r="JV69" s="1">
        <v>3726</v>
      </c>
      <c r="JW69" s="1">
        <v>3831</v>
      </c>
      <c r="JX69">
        <v>18.89</v>
      </c>
      <c r="JY69">
        <v>8.17</v>
      </c>
      <c r="JZ69">
        <v>22.54</v>
      </c>
      <c r="KA69">
        <v>0.14000000000000001</v>
      </c>
      <c r="KB69">
        <v>0.76</v>
      </c>
      <c r="KC69">
        <v>47</v>
      </c>
      <c r="KD69">
        <v>880</v>
      </c>
      <c r="KE69">
        <v>59</v>
      </c>
      <c r="KF69">
        <v>182</v>
      </c>
      <c r="KG69">
        <v>242</v>
      </c>
      <c r="KH69" s="1">
        <v>16675</v>
      </c>
      <c r="KI69">
        <v>23</v>
      </c>
      <c r="KJ69">
        <v>359</v>
      </c>
      <c r="KK69">
        <v>4</v>
      </c>
      <c r="KL69">
        <v>25</v>
      </c>
      <c r="KM69" s="1">
        <v>35426</v>
      </c>
      <c r="KN69" s="1">
        <v>15123</v>
      </c>
      <c r="KO69" s="1">
        <v>6278</v>
      </c>
      <c r="KQ69">
        <v>140</v>
      </c>
      <c r="KR69" s="1">
        <v>3826</v>
      </c>
      <c r="KS69">
        <v>19</v>
      </c>
      <c r="KT69">
        <v>254</v>
      </c>
      <c r="KU69">
        <v>22</v>
      </c>
      <c r="KV69">
        <v>64</v>
      </c>
      <c r="KW69" s="1">
        <v>40662</v>
      </c>
      <c r="KY69" s="1">
        <v>32727</v>
      </c>
      <c r="LC69" t="s">
        <v>1630</v>
      </c>
      <c r="LD69" t="s">
        <v>803</v>
      </c>
      <c r="LE69" t="s">
        <v>1627</v>
      </c>
      <c r="LF69" t="s">
        <v>1628</v>
      </c>
      <c r="LG69">
        <v>28359</v>
      </c>
      <c r="LH69">
        <v>988</v>
      </c>
      <c r="LI69" t="s">
        <v>1629</v>
      </c>
      <c r="LJ69" t="s">
        <v>1628</v>
      </c>
      <c r="LK69">
        <v>28358</v>
      </c>
      <c r="LL69">
        <v>1111</v>
      </c>
      <c r="LM69" t="s">
        <v>1631</v>
      </c>
      <c r="LN69">
        <v>9107384859</v>
      </c>
      <c r="LO69">
        <v>9107398321</v>
      </c>
      <c r="LP69" s="1">
        <v>38136</v>
      </c>
      <c r="LQ69">
        <v>20.48</v>
      </c>
      <c r="LS69" s="1">
        <v>12314</v>
      </c>
      <c r="LT69">
        <v>373</v>
      </c>
      <c r="LW69">
        <v>2</v>
      </c>
      <c r="LX69" t="s">
        <v>1637</v>
      </c>
      <c r="LY69">
        <v>0</v>
      </c>
      <c r="LZ69" t="s">
        <v>691</v>
      </c>
      <c r="MA69">
        <v>100</v>
      </c>
      <c r="MB69">
        <v>10</v>
      </c>
    </row>
    <row r="70" spans="1:340" x14ac:dyDescent="0.25">
      <c r="A70" t="s">
        <v>1638</v>
      </c>
      <c r="B70">
        <v>0</v>
      </c>
      <c r="C70">
        <v>1375</v>
      </c>
      <c r="D70">
        <v>2017</v>
      </c>
      <c r="E70">
        <v>0</v>
      </c>
      <c r="F70" t="s">
        <v>1638</v>
      </c>
      <c r="G70" t="s">
        <v>1639</v>
      </c>
      <c r="H70" t="s">
        <v>668</v>
      </c>
      <c r="I70" t="s">
        <v>669</v>
      </c>
      <c r="J70" t="s">
        <v>725</v>
      </c>
      <c r="K70" t="s">
        <v>671</v>
      </c>
      <c r="L70" t="s">
        <v>672</v>
      </c>
      <c r="M70" t="s">
        <v>673</v>
      </c>
      <c r="N70" s="1">
        <v>92084</v>
      </c>
      <c r="O70" t="s">
        <v>806</v>
      </c>
      <c r="P70">
        <v>768</v>
      </c>
      <c r="R70">
        <v>106</v>
      </c>
      <c r="S70">
        <v>18</v>
      </c>
      <c r="T70" s="1">
        <v>2706</v>
      </c>
      <c r="U70">
        <v>106</v>
      </c>
      <c r="V70" s="1">
        <v>22126</v>
      </c>
      <c r="W70" s="1">
        <v>3849</v>
      </c>
      <c r="X70" s="1">
        <v>76196</v>
      </c>
      <c r="Y70" s="1">
        <v>13186</v>
      </c>
      <c r="Z70" t="s">
        <v>1640</v>
      </c>
      <c r="AA70" t="s">
        <v>1641</v>
      </c>
      <c r="AB70">
        <v>27288</v>
      </c>
      <c r="AC70">
        <v>4997</v>
      </c>
      <c r="AD70" t="s">
        <v>1640</v>
      </c>
      <c r="AE70" t="s">
        <v>1641</v>
      </c>
      <c r="AF70">
        <v>27288</v>
      </c>
      <c r="AG70">
        <v>2</v>
      </c>
      <c r="AH70" t="s">
        <v>1642</v>
      </c>
      <c r="AJ70" t="s">
        <v>35</v>
      </c>
      <c r="AK70" t="s">
        <v>1643</v>
      </c>
      <c r="AL70" t="s">
        <v>1644</v>
      </c>
      <c r="AM70" t="s">
        <v>1645</v>
      </c>
      <c r="AN70" t="s">
        <v>1646</v>
      </c>
      <c r="AO70" t="s">
        <v>1647</v>
      </c>
      <c r="AP70" t="s">
        <v>1648</v>
      </c>
      <c r="AQ70" t="s">
        <v>1649</v>
      </c>
      <c r="AR70" t="s">
        <v>1645</v>
      </c>
      <c r="AS70" t="s">
        <v>1646</v>
      </c>
      <c r="AT70" t="s">
        <v>1650</v>
      </c>
      <c r="AU70" t="s">
        <v>1651</v>
      </c>
      <c r="BC70">
        <v>0</v>
      </c>
      <c r="BD70">
        <v>4</v>
      </c>
      <c r="BE70">
        <v>1</v>
      </c>
      <c r="BF70">
        <v>1</v>
      </c>
      <c r="BG70">
        <v>6</v>
      </c>
      <c r="BI70" s="1">
        <v>12324</v>
      </c>
      <c r="BJ70">
        <v>8</v>
      </c>
      <c r="BK70">
        <v>0</v>
      </c>
      <c r="BL70">
        <v>8</v>
      </c>
      <c r="BM70">
        <v>28.3</v>
      </c>
      <c r="BN70">
        <v>36.299999999999997</v>
      </c>
      <c r="BO70" s="3">
        <v>0.22040000000000001</v>
      </c>
      <c r="BP70">
        <v>0</v>
      </c>
      <c r="BQ70" s="4">
        <v>72209</v>
      </c>
      <c r="BT70">
        <v>0</v>
      </c>
      <c r="BU70" s="4">
        <v>44708</v>
      </c>
      <c r="BV70" s="4">
        <v>71532</v>
      </c>
      <c r="BW70" s="4">
        <v>58120</v>
      </c>
      <c r="BY70" s="4">
        <v>40551</v>
      </c>
      <c r="BZ70" s="4">
        <v>64882</v>
      </c>
      <c r="CA70" s="4">
        <v>52716</v>
      </c>
      <c r="CC70" s="4">
        <v>40551</v>
      </c>
      <c r="CD70" s="4">
        <v>64882</v>
      </c>
      <c r="CE70" s="1">
        <v>52716</v>
      </c>
      <c r="CG70" s="4">
        <v>0</v>
      </c>
      <c r="CH70" s="4">
        <v>0</v>
      </c>
      <c r="CI70" s="4">
        <v>0</v>
      </c>
      <c r="CK70" s="4">
        <v>0</v>
      </c>
      <c r="CL70" s="4">
        <v>0</v>
      </c>
      <c r="CM70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V70" s="4">
        <v>0</v>
      </c>
      <c r="CW70" s="4">
        <v>0</v>
      </c>
      <c r="CX70" s="4">
        <v>0</v>
      </c>
      <c r="CZ70" s="4">
        <v>0</v>
      </c>
      <c r="DA70" s="4">
        <v>0</v>
      </c>
      <c r="DB70" s="4">
        <v>0</v>
      </c>
      <c r="DD70" s="4">
        <v>0</v>
      </c>
      <c r="DE70" s="4">
        <v>0</v>
      </c>
      <c r="DF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O70" s="4">
        <v>0</v>
      </c>
      <c r="DP70" s="4">
        <v>0</v>
      </c>
      <c r="DQ70" s="4">
        <v>0</v>
      </c>
      <c r="DS70" s="4">
        <v>0</v>
      </c>
      <c r="DT70" s="4">
        <v>0</v>
      </c>
      <c r="DU70" s="4">
        <v>0</v>
      </c>
      <c r="DV70" s="4">
        <v>2600</v>
      </c>
      <c r="DW70" s="4">
        <v>1611509</v>
      </c>
      <c r="DX70" s="4">
        <v>1614109</v>
      </c>
      <c r="DY70" s="4">
        <v>139180</v>
      </c>
      <c r="DZ70" s="4">
        <v>0</v>
      </c>
      <c r="EA70" s="4">
        <v>139180</v>
      </c>
      <c r="EB70" s="4">
        <v>1400</v>
      </c>
      <c r="EC70" s="4">
        <v>0</v>
      </c>
      <c r="ED70" s="4">
        <v>1400</v>
      </c>
      <c r="EE70" s="4">
        <v>140806</v>
      </c>
      <c r="EF70" s="4">
        <v>1895495</v>
      </c>
      <c r="EG70" s="4">
        <v>1053924</v>
      </c>
      <c r="EH70" s="4">
        <v>351334</v>
      </c>
      <c r="EI70" s="4">
        <v>1405258</v>
      </c>
      <c r="EJ70" s="4">
        <v>175804</v>
      </c>
      <c r="EK70" s="4">
        <v>28101</v>
      </c>
      <c r="EL70" s="4">
        <v>10003</v>
      </c>
      <c r="EM70" s="4">
        <v>213908</v>
      </c>
      <c r="EN70" s="4">
        <v>276330</v>
      </c>
      <c r="EO70" s="4">
        <v>1895496</v>
      </c>
      <c r="EP70" s="4">
        <v>-1</v>
      </c>
      <c r="EQ70" s="3">
        <v>0</v>
      </c>
      <c r="ER70" s="4">
        <v>40918</v>
      </c>
      <c r="ES70" s="4">
        <v>0</v>
      </c>
      <c r="ET70" s="4">
        <v>0</v>
      </c>
      <c r="EU70" s="4">
        <v>0</v>
      </c>
      <c r="EV70" s="4">
        <v>40918</v>
      </c>
      <c r="EW70" s="4">
        <v>40918</v>
      </c>
      <c r="EX70" s="1">
        <v>23847</v>
      </c>
      <c r="EY70" s="1">
        <v>334880</v>
      </c>
      <c r="EZ70" s="1">
        <v>94681</v>
      </c>
      <c r="FA70" s="1">
        <v>8887</v>
      </c>
      <c r="FB70" s="1">
        <v>41548</v>
      </c>
      <c r="FC70" s="1">
        <v>77738</v>
      </c>
      <c r="FD70" s="1">
        <v>2358</v>
      </c>
      <c r="FE70" s="1">
        <v>25141</v>
      </c>
      <c r="FF70" s="1">
        <v>172419</v>
      </c>
      <c r="FG70" s="1">
        <v>11245</v>
      </c>
      <c r="FH70" s="1">
        <v>66689</v>
      </c>
      <c r="FI70" s="1">
        <v>250353</v>
      </c>
      <c r="FJ70" s="1">
        <v>5165</v>
      </c>
      <c r="FK70">
        <v>199</v>
      </c>
      <c r="FM70" s="1">
        <v>250353</v>
      </c>
      <c r="FN70" s="1">
        <v>7842</v>
      </c>
      <c r="FO70" s="1">
        <v>12434</v>
      </c>
      <c r="FP70">
        <v>603</v>
      </c>
      <c r="FQ70">
        <v>3</v>
      </c>
      <c r="FR70">
        <v>88</v>
      </c>
      <c r="FS70">
        <v>91</v>
      </c>
      <c r="FT70" s="1">
        <v>44141</v>
      </c>
      <c r="FU70" s="1">
        <v>3505</v>
      </c>
      <c r="FV70">
        <v>0</v>
      </c>
      <c r="FW70">
        <v>0</v>
      </c>
      <c r="FX70" s="1">
        <v>8544</v>
      </c>
      <c r="FY70" s="1">
        <v>1573</v>
      </c>
      <c r="FZ70">
        <v>322</v>
      </c>
      <c r="GA70">
        <v>0</v>
      </c>
      <c r="GE70">
        <v>-1</v>
      </c>
      <c r="GJ70">
        <v>-1</v>
      </c>
      <c r="GK70">
        <v>66</v>
      </c>
      <c r="GL70">
        <v>0</v>
      </c>
      <c r="GM70">
        <v>44</v>
      </c>
      <c r="GN70" s="1">
        <v>52684</v>
      </c>
      <c r="GO70" s="1">
        <v>5144</v>
      </c>
      <c r="GP70">
        <v>322</v>
      </c>
      <c r="GQ70">
        <v>43</v>
      </c>
      <c r="GR70">
        <v>46</v>
      </c>
      <c r="GT70" s="1">
        <v>120035</v>
      </c>
      <c r="GU70" s="1">
        <v>12493</v>
      </c>
      <c r="GV70" s="1">
        <v>59800</v>
      </c>
      <c r="GW70" s="1">
        <v>28356</v>
      </c>
      <c r="GX70">
        <v>988</v>
      </c>
      <c r="GY70" s="1">
        <v>13091</v>
      </c>
      <c r="GZ70" s="1">
        <v>148391</v>
      </c>
      <c r="HA70" s="1">
        <v>13481</v>
      </c>
      <c r="HB70" s="1">
        <v>72891</v>
      </c>
      <c r="HC70" s="1">
        <v>234763</v>
      </c>
      <c r="HD70" s="1">
        <v>4242</v>
      </c>
      <c r="HE70" s="1">
        <v>240906</v>
      </c>
      <c r="HF70" s="1">
        <v>10803</v>
      </c>
      <c r="HG70" s="1">
        <v>72955</v>
      </c>
      <c r="HH70" s="1">
        <v>1901</v>
      </c>
      <c r="HI70">
        <v>195</v>
      </c>
      <c r="HJ70" s="1">
        <v>83953</v>
      </c>
      <c r="HK70" s="1">
        <v>324859</v>
      </c>
      <c r="HL70">
        <v>78</v>
      </c>
      <c r="HM70" s="1">
        <v>3183</v>
      </c>
      <c r="HN70" s="1">
        <v>3261</v>
      </c>
      <c r="HO70">
        <v>131</v>
      </c>
      <c r="HP70">
        <v>0</v>
      </c>
      <c r="HQ70">
        <v>131</v>
      </c>
      <c r="HR70">
        <v>0</v>
      </c>
      <c r="HS70">
        <v>0</v>
      </c>
      <c r="HT70">
        <v>0</v>
      </c>
      <c r="HU70" s="1">
        <v>3183</v>
      </c>
      <c r="HV70" s="1">
        <v>6575</v>
      </c>
      <c r="HW70" s="1">
        <v>2026</v>
      </c>
      <c r="HX70" s="1">
        <v>48723</v>
      </c>
      <c r="HY70" s="1">
        <v>50749</v>
      </c>
      <c r="HZ70" s="1">
        <v>57324</v>
      </c>
      <c r="IA70" s="1">
        <v>10934</v>
      </c>
      <c r="IB70" s="1">
        <v>83889</v>
      </c>
      <c r="IC70" s="1">
        <v>331434</v>
      </c>
      <c r="ID70" s="1">
        <v>331434</v>
      </c>
      <c r="IE70" s="1">
        <v>382183</v>
      </c>
      <c r="IF70" s="1">
        <v>86372</v>
      </c>
      <c r="IG70" s="1">
        <v>1366</v>
      </c>
      <c r="IJ70">
        <v>1</v>
      </c>
      <c r="IK70" s="3">
        <v>3.8100000000000002E-2</v>
      </c>
      <c r="IL70" s="3">
        <v>5.9999999999999995E-4</v>
      </c>
      <c r="IM70" s="3">
        <v>0.17380000000000001</v>
      </c>
      <c r="IN70" s="3">
        <v>0</v>
      </c>
      <c r="IO70" s="3">
        <v>0.1573</v>
      </c>
      <c r="IP70" s="3">
        <v>2.9999999999999997E-4</v>
      </c>
      <c r="IQ70" s="3">
        <v>0.74760000000000004</v>
      </c>
      <c r="IR70" s="3">
        <v>3.8800000000000001E-2</v>
      </c>
      <c r="IS70" s="3">
        <v>0.2606</v>
      </c>
      <c r="IT70" s="1">
        <v>33188</v>
      </c>
      <c r="IU70" s="1">
        <v>8667</v>
      </c>
      <c r="IV70" s="1">
        <v>41855</v>
      </c>
      <c r="IW70" s="3">
        <v>0.45450000000000002</v>
      </c>
      <c r="IX70" s="1">
        <v>433513</v>
      </c>
      <c r="IZ70">
        <v>305</v>
      </c>
      <c r="JA70">
        <v>66</v>
      </c>
      <c r="JB70">
        <v>403</v>
      </c>
      <c r="JC70">
        <v>128</v>
      </c>
      <c r="JD70">
        <v>0</v>
      </c>
      <c r="JE70">
        <v>58</v>
      </c>
      <c r="JF70">
        <v>433</v>
      </c>
      <c r="JG70">
        <v>66</v>
      </c>
      <c r="JH70">
        <v>461</v>
      </c>
      <c r="JI70">
        <v>960</v>
      </c>
      <c r="JJ70">
        <v>774</v>
      </c>
      <c r="JK70">
        <v>186</v>
      </c>
      <c r="JL70" s="1">
        <v>8239</v>
      </c>
      <c r="JM70">
        <v>548</v>
      </c>
      <c r="JN70" s="1">
        <v>8868</v>
      </c>
      <c r="JO70">
        <v>823</v>
      </c>
      <c r="JP70">
        <v>0</v>
      </c>
      <c r="JQ70" s="1">
        <v>2396</v>
      </c>
      <c r="JR70" s="1">
        <v>9062</v>
      </c>
      <c r="JS70">
        <v>548</v>
      </c>
      <c r="JT70" s="1">
        <v>11264</v>
      </c>
      <c r="JU70" s="1">
        <v>20874</v>
      </c>
      <c r="JV70" s="1">
        <v>17655</v>
      </c>
      <c r="JW70" s="1">
        <v>3219</v>
      </c>
      <c r="JX70">
        <v>21.74</v>
      </c>
      <c r="JY70">
        <v>20.93</v>
      </c>
      <c r="JZ70">
        <v>24.43</v>
      </c>
      <c r="KA70">
        <v>0.43</v>
      </c>
      <c r="KB70">
        <v>0.54</v>
      </c>
      <c r="KC70">
        <v>134</v>
      </c>
      <c r="KD70">
        <v>390</v>
      </c>
      <c r="KE70">
        <v>120</v>
      </c>
      <c r="KF70">
        <v>356</v>
      </c>
      <c r="KG70">
        <v>314</v>
      </c>
      <c r="KH70" s="1">
        <v>7226</v>
      </c>
      <c r="KI70">
        <v>105</v>
      </c>
      <c r="KJ70">
        <v>318</v>
      </c>
      <c r="KK70">
        <v>220</v>
      </c>
      <c r="KL70" s="1">
        <v>1974</v>
      </c>
      <c r="KM70" s="1">
        <v>134017</v>
      </c>
      <c r="KN70" s="1">
        <v>85527</v>
      </c>
      <c r="KO70" s="1">
        <v>56576</v>
      </c>
      <c r="KQ70" s="1">
        <v>1455</v>
      </c>
      <c r="KR70" s="1">
        <v>13425</v>
      </c>
      <c r="KS70" s="1">
        <v>18768</v>
      </c>
      <c r="KT70" s="1">
        <v>13169</v>
      </c>
      <c r="KU70">
        <v>33</v>
      </c>
      <c r="KV70">
        <v>93</v>
      </c>
      <c r="KW70" s="1">
        <v>141881</v>
      </c>
      <c r="KY70">
        <v>0</v>
      </c>
      <c r="KZ70">
        <v>0</v>
      </c>
      <c r="LC70" t="s">
        <v>1652</v>
      </c>
      <c r="LD70" t="s">
        <v>709</v>
      </c>
      <c r="LE70" t="s">
        <v>1653</v>
      </c>
      <c r="LF70" t="s">
        <v>1641</v>
      </c>
      <c r="LG70">
        <v>27288</v>
      </c>
      <c r="LH70">
        <v>5298</v>
      </c>
      <c r="LI70" t="s">
        <v>1653</v>
      </c>
      <c r="LJ70" t="s">
        <v>1641</v>
      </c>
      <c r="LK70">
        <v>27288</v>
      </c>
      <c r="LL70">
        <v>5298</v>
      </c>
      <c r="LM70" t="s">
        <v>1643</v>
      </c>
      <c r="LN70">
        <v>3366233168</v>
      </c>
      <c r="LO70">
        <v>3366231171</v>
      </c>
      <c r="LP70" s="1">
        <v>49690</v>
      </c>
      <c r="LQ70">
        <v>28.3</v>
      </c>
      <c r="LS70" s="1">
        <v>12324</v>
      </c>
      <c r="LT70">
        <v>260</v>
      </c>
      <c r="LW70">
        <v>3</v>
      </c>
      <c r="LX70" t="s">
        <v>1654</v>
      </c>
      <c r="LY70">
        <v>0</v>
      </c>
      <c r="LZ70" t="s">
        <v>738</v>
      </c>
      <c r="MA70">
        <v>44.3</v>
      </c>
      <c r="MB70">
        <v>12.6</v>
      </c>
    </row>
    <row r="71" spans="1:340" x14ac:dyDescent="0.25">
      <c r="A71" t="s">
        <v>1655</v>
      </c>
      <c r="B71">
        <v>0</v>
      </c>
      <c r="C71">
        <v>1375</v>
      </c>
      <c r="D71">
        <v>2017</v>
      </c>
      <c r="E71">
        <v>0</v>
      </c>
      <c r="F71" t="s">
        <v>1655</v>
      </c>
      <c r="G71" t="s">
        <v>1656</v>
      </c>
      <c r="H71" t="s">
        <v>668</v>
      </c>
      <c r="I71" t="s">
        <v>669</v>
      </c>
      <c r="J71" t="s">
        <v>670</v>
      </c>
      <c r="K71" t="s">
        <v>671</v>
      </c>
      <c r="L71" t="s">
        <v>672</v>
      </c>
      <c r="M71" t="s">
        <v>673</v>
      </c>
      <c r="N71" s="1">
        <v>140122</v>
      </c>
      <c r="O71" t="s">
        <v>674</v>
      </c>
      <c r="P71" s="1">
        <v>2313</v>
      </c>
      <c r="Q71">
        <v>329</v>
      </c>
      <c r="R71">
        <v>110</v>
      </c>
      <c r="S71">
        <v>22</v>
      </c>
      <c r="T71" s="1">
        <v>8265</v>
      </c>
      <c r="U71">
        <v>489</v>
      </c>
      <c r="V71" s="1">
        <v>50207</v>
      </c>
      <c r="W71" s="1">
        <v>7415</v>
      </c>
      <c r="X71" s="1">
        <v>803640</v>
      </c>
      <c r="Y71" s="1">
        <v>590160</v>
      </c>
      <c r="Z71" t="s">
        <v>1657</v>
      </c>
      <c r="AA71" t="s">
        <v>1658</v>
      </c>
      <c r="AB71">
        <v>28144</v>
      </c>
      <c r="AC71">
        <v>4935</v>
      </c>
      <c r="AD71" t="s">
        <v>1657</v>
      </c>
      <c r="AE71" t="s">
        <v>1658</v>
      </c>
      <c r="AF71">
        <v>28144</v>
      </c>
      <c r="AG71">
        <v>2</v>
      </c>
      <c r="AH71" t="s">
        <v>1659</v>
      </c>
      <c r="AJ71" t="s">
        <v>35</v>
      </c>
      <c r="AK71" t="s">
        <v>1660</v>
      </c>
      <c r="AL71" t="s">
        <v>1661</v>
      </c>
      <c r="AM71" t="s">
        <v>1662</v>
      </c>
      <c r="AN71" t="s">
        <v>1663</v>
      </c>
      <c r="AO71" t="s">
        <v>1664</v>
      </c>
      <c r="AP71" t="s">
        <v>1665</v>
      </c>
      <c r="AQ71" t="s">
        <v>1666</v>
      </c>
      <c r="AR71" t="s">
        <v>1667</v>
      </c>
      <c r="AS71" t="s">
        <v>1668</v>
      </c>
      <c r="AT71" t="s">
        <v>1669</v>
      </c>
      <c r="AU71" t="s">
        <v>1670</v>
      </c>
      <c r="BC71">
        <v>1</v>
      </c>
      <c r="BD71">
        <v>2</v>
      </c>
      <c r="BE71">
        <v>1</v>
      </c>
      <c r="BF71">
        <v>1</v>
      </c>
      <c r="BG71">
        <v>5</v>
      </c>
      <c r="BI71" s="1">
        <v>9564</v>
      </c>
      <c r="BJ71">
        <v>10</v>
      </c>
      <c r="BK71">
        <v>1</v>
      </c>
      <c r="BL71">
        <v>11</v>
      </c>
      <c r="BM71">
        <v>35.799999999999997</v>
      </c>
      <c r="BN71">
        <v>46.8</v>
      </c>
      <c r="BO71" s="3">
        <v>0.2137</v>
      </c>
      <c r="BP71">
        <v>207</v>
      </c>
      <c r="BQ71" s="4">
        <v>85739</v>
      </c>
      <c r="BT71" s="1">
        <v>61246</v>
      </c>
      <c r="BU71" s="4">
        <v>40000</v>
      </c>
      <c r="BV71" s="4">
        <v>40000</v>
      </c>
      <c r="BW71" s="4">
        <v>40000</v>
      </c>
      <c r="BY71" s="4">
        <v>42251</v>
      </c>
      <c r="BZ71" s="4">
        <v>42251</v>
      </c>
      <c r="CA71" s="4">
        <v>42251</v>
      </c>
      <c r="CC71" s="4">
        <v>48552</v>
      </c>
      <c r="CD71" s="4">
        <v>48552</v>
      </c>
      <c r="CE71" s="1">
        <v>48552</v>
      </c>
      <c r="CG71" s="4">
        <v>44140</v>
      </c>
      <c r="CH71" s="4">
        <v>44140</v>
      </c>
      <c r="CI71" s="4">
        <v>44140</v>
      </c>
      <c r="CO71" s="4">
        <v>43027</v>
      </c>
      <c r="CP71" s="4">
        <v>43027</v>
      </c>
      <c r="CQ71" s="4">
        <v>43027</v>
      </c>
      <c r="CR71" s="4">
        <v>32897</v>
      </c>
      <c r="CS71" s="4">
        <v>38540</v>
      </c>
      <c r="CT71" s="4">
        <v>35764</v>
      </c>
      <c r="CV71" s="4">
        <v>38075</v>
      </c>
      <c r="CW71" s="4">
        <v>42165</v>
      </c>
      <c r="CX71" s="4">
        <v>40890</v>
      </c>
      <c r="DK71" s="4">
        <v>31999</v>
      </c>
      <c r="DL71" s="4">
        <v>39435</v>
      </c>
      <c r="DM71" s="4">
        <v>36145</v>
      </c>
      <c r="DO71" s="4">
        <v>6398</v>
      </c>
      <c r="DP71" s="4">
        <v>39128</v>
      </c>
      <c r="DQ71" s="4">
        <v>25118</v>
      </c>
      <c r="DV71" s="4">
        <v>0</v>
      </c>
      <c r="DW71" s="4">
        <v>3447651</v>
      </c>
      <c r="DX71" s="4">
        <v>3447651</v>
      </c>
      <c r="DY71" s="4">
        <v>178656</v>
      </c>
      <c r="DZ71" s="4">
        <v>36106</v>
      </c>
      <c r="EA71" s="4">
        <v>214762</v>
      </c>
      <c r="EB71" s="4">
        <v>0</v>
      </c>
      <c r="EC71" s="4">
        <v>0</v>
      </c>
      <c r="ED71" s="4">
        <v>0</v>
      </c>
      <c r="EE71" s="4">
        <v>147007</v>
      </c>
      <c r="EF71" s="4">
        <v>3809420</v>
      </c>
      <c r="EG71" s="4">
        <v>1503325</v>
      </c>
      <c r="EH71" s="4">
        <v>624909</v>
      </c>
      <c r="EI71" s="4">
        <v>2128234</v>
      </c>
      <c r="EJ71" s="4">
        <v>209483</v>
      </c>
      <c r="EK71" s="4">
        <v>47176</v>
      </c>
      <c r="EL71" s="4">
        <v>34297</v>
      </c>
      <c r="EM71" s="4">
        <v>290956</v>
      </c>
      <c r="EN71" s="4">
        <v>789540</v>
      </c>
      <c r="EO71" s="4">
        <v>3208730</v>
      </c>
      <c r="EP71" s="4">
        <v>600690</v>
      </c>
      <c r="EQ71" s="3">
        <v>0.15770000000000001</v>
      </c>
      <c r="ER71" s="4">
        <v>10545</v>
      </c>
      <c r="ES71" s="4">
        <v>0</v>
      </c>
      <c r="ET71" s="4">
        <v>0</v>
      </c>
      <c r="EU71" s="4">
        <v>0</v>
      </c>
      <c r="EV71" s="4">
        <v>10545</v>
      </c>
      <c r="EW71" s="4">
        <v>10545</v>
      </c>
      <c r="EX71" s="1">
        <v>42320</v>
      </c>
      <c r="EY71" s="1">
        <v>367483</v>
      </c>
      <c r="EZ71" s="1">
        <v>53773</v>
      </c>
      <c r="FA71" s="1">
        <v>10936</v>
      </c>
      <c r="FB71" s="1">
        <v>54869</v>
      </c>
      <c r="FC71" s="1">
        <v>80149</v>
      </c>
      <c r="FD71" s="1">
        <v>3369</v>
      </c>
      <c r="FE71" s="1">
        <v>25170</v>
      </c>
      <c r="FF71" s="1">
        <v>133922</v>
      </c>
      <c r="FG71" s="1">
        <v>14305</v>
      </c>
      <c r="FH71" s="1">
        <v>80039</v>
      </c>
      <c r="FI71" s="1">
        <v>228266</v>
      </c>
      <c r="FJ71">
        <v>0</v>
      </c>
      <c r="FK71">
        <v>193</v>
      </c>
      <c r="FM71" s="1">
        <v>228266</v>
      </c>
      <c r="FN71" s="1">
        <v>5833</v>
      </c>
      <c r="FO71" s="1">
        <v>19500</v>
      </c>
      <c r="FP71" s="1">
        <v>5163</v>
      </c>
      <c r="FQ71">
        <v>7</v>
      </c>
      <c r="FR71">
        <v>88</v>
      </c>
      <c r="FS71">
        <v>95</v>
      </c>
      <c r="FT71" s="1">
        <v>44141</v>
      </c>
      <c r="FU71" s="1">
        <v>3505</v>
      </c>
      <c r="FV71">
        <v>0</v>
      </c>
      <c r="FW71">
        <v>0</v>
      </c>
      <c r="FX71" s="1">
        <v>8544</v>
      </c>
      <c r="FY71" s="1">
        <v>1573</v>
      </c>
      <c r="FZ71">
        <v>322</v>
      </c>
      <c r="GA71">
        <v>0</v>
      </c>
      <c r="GE71">
        <v>0</v>
      </c>
      <c r="GF71" s="1">
        <v>36593</v>
      </c>
      <c r="GG71" s="1">
        <v>13194</v>
      </c>
      <c r="GH71">
        <v>264</v>
      </c>
      <c r="GI71">
        <v>12</v>
      </c>
      <c r="GJ71">
        <v>261</v>
      </c>
      <c r="GK71">
        <v>24</v>
      </c>
      <c r="GL71">
        <v>0</v>
      </c>
      <c r="GM71">
        <v>0</v>
      </c>
      <c r="GN71" s="1">
        <v>89539</v>
      </c>
      <c r="GO71" s="1">
        <v>18296</v>
      </c>
      <c r="GP71">
        <v>586</v>
      </c>
      <c r="GQ71">
        <v>12</v>
      </c>
      <c r="GR71">
        <v>73</v>
      </c>
      <c r="GT71" s="1">
        <v>148323</v>
      </c>
      <c r="GU71" s="1">
        <v>20330</v>
      </c>
      <c r="GV71" s="1">
        <v>140838</v>
      </c>
      <c r="GW71" s="1">
        <v>58825</v>
      </c>
      <c r="GX71" s="1">
        <v>2227</v>
      </c>
      <c r="GY71" s="1">
        <v>34099</v>
      </c>
      <c r="GZ71" s="1">
        <v>207148</v>
      </c>
      <c r="HA71" s="1">
        <v>22557</v>
      </c>
      <c r="HB71" s="1">
        <v>174937</v>
      </c>
      <c r="HC71" s="1">
        <v>404642</v>
      </c>
      <c r="HD71">
        <v>0</v>
      </c>
      <c r="HE71" s="1">
        <v>404642</v>
      </c>
      <c r="HF71" s="1">
        <v>16756</v>
      </c>
      <c r="HG71" s="1">
        <v>88300</v>
      </c>
      <c r="HH71">
        <v>0</v>
      </c>
      <c r="HI71">
        <v>100</v>
      </c>
      <c r="HJ71" s="1">
        <v>105156</v>
      </c>
      <c r="HK71" s="1">
        <v>509798</v>
      </c>
      <c r="HL71">
        <v>151</v>
      </c>
      <c r="HM71" s="1">
        <v>26185</v>
      </c>
      <c r="HN71" s="1">
        <v>26336</v>
      </c>
      <c r="HO71">
        <v>112</v>
      </c>
      <c r="HP71" s="1">
        <v>11661</v>
      </c>
      <c r="HQ71" s="1">
        <v>11773</v>
      </c>
      <c r="HR71">
        <v>0</v>
      </c>
      <c r="HS71">
        <v>132</v>
      </c>
      <c r="HT71">
        <v>132</v>
      </c>
      <c r="HU71" s="1">
        <v>1373</v>
      </c>
      <c r="HV71" s="1">
        <v>39614</v>
      </c>
      <c r="HW71" s="1">
        <v>26153</v>
      </c>
      <c r="HX71" s="1">
        <v>143951</v>
      </c>
      <c r="HY71" s="1">
        <v>170104</v>
      </c>
      <c r="HZ71" s="1">
        <v>209718</v>
      </c>
      <c r="IA71" s="1">
        <v>28529</v>
      </c>
      <c r="IB71" s="1">
        <v>116961</v>
      </c>
      <c r="IC71" s="1">
        <v>549412</v>
      </c>
      <c r="ID71" s="1">
        <v>549412</v>
      </c>
      <c r="IE71" s="1">
        <v>719516</v>
      </c>
      <c r="IF71" s="1">
        <v>221289</v>
      </c>
      <c r="IG71">
        <v>86</v>
      </c>
      <c r="IJ71">
        <v>1</v>
      </c>
      <c r="IK71" s="3">
        <v>5.4699999999999999E-2</v>
      </c>
      <c r="IL71" s="3">
        <v>5.0000000000000001E-4</v>
      </c>
      <c r="IM71" s="3">
        <v>0.29509999999999997</v>
      </c>
      <c r="IN71" s="3">
        <v>0</v>
      </c>
      <c r="IO71" s="3">
        <v>0.2437</v>
      </c>
      <c r="IP71" s="3">
        <v>2.9999999999999997E-4</v>
      </c>
      <c r="IQ71" s="3">
        <v>0.62119999999999997</v>
      </c>
      <c r="IR71" s="3">
        <v>6.5699999999999995E-2</v>
      </c>
      <c r="IS71" s="3">
        <v>0.40279999999999999</v>
      </c>
      <c r="IT71" s="1">
        <v>65035</v>
      </c>
      <c r="IU71" s="1">
        <v>35556</v>
      </c>
      <c r="IV71" s="1">
        <v>100591</v>
      </c>
      <c r="IW71" s="3">
        <v>0.71789999999999998</v>
      </c>
      <c r="IX71" s="1">
        <v>393489</v>
      </c>
      <c r="IZ71">
        <v>108</v>
      </c>
      <c r="JA71">
        <v>100</v>
      </c>
      <c r="JB71">
        <v>686</v>
      </c>
      <c r="JC71">
        <v>43</v>
      </c>
      <c r="JD71">
        <v>3</v>
      </c>
      <c r="JE71">
        <v>398</v>
      </c>
      <c r="JF71">
        <v>151</v>
      </c>
      <c r="JG71">
        <v>103</v>
      </c>
      <c r="JH71" s="1">
        <v>1084</v>
      </c>
      <c r="JI71" s="1">
        <v>1338</v>
      </c>
      <c r="JJ71">
        <v>894</v>
      </c>
      <c r="JK71">
        <v>444</v>
      </c>
      <c r="JL71" s="1">
        <v>2746</v>
      </c>
      <c r="JM71" s="1">
        <v>1073</v>
      </c>
      <c r="JN71" s="1">
        <v>20180</v>
      </c>
      <c r="JO71" s="1">
        <v>1073</v>
      </c>
      <c r="JP71">
        <v>89</v>
      </c>
      <c r="JQ71" s="1">
        <v>12442</v>
      </c>
      <c r="JR71" s="1">
        <v>3819</v>
      </c>
      <c r="JS71" s="1">
        <v>1162</v>
      </c>
      <c r="JT71" s="1">
        <v>32622</v>
      </c>
      <c r="JU71" s="1">
        <v>37603</v>
      </c>
      <c r="JV71" s="1">
        <v>23999</v>
      </c>
      <c r="JW71" s="1">
        <v>13604</v>
      </c>
      <c r="JX71">
        <v>28.1</v>
      </c>
      <c r="JY71">
        <v>25.29</v>
      </c>
      <c r="JZ71">
        <v>30.09</v>
      </c>
      <c r="KA71">
        <v>0.1</v>
      </c>
      <c r="KB71">
        <v>0.87</v>
      </c>
      <c r="KC71">
        <v>5</v>
      </c>
      <c r="KD71">
        <v>15</v>
      </c>
      <c r="KE71">
        <v>8</v>
      </c>
      <c r="KF71">
        <v>42</v>
      </c>
      <c r="KG71">
        <v>835</v>
      </c>
      <c r="KH71" s="1">
        <v>25128</v>
      </c>
      <c r="KI71">
        <v>1</v>
      </c>
      <c r="KJ71">
        <v>12</v>
      </c>
      <c r="KK71">
        <v>72</v>
      </c>
      <c r="KL71" s="1">
        <v>2167</v>
      </c>
      <c r="KM71" s="1">
        <v>59642</v>
      </c>
      <c r="KN71" s="1">
        <v>29406</v>
      </c>
      <c r="KO71">
        <v>693</v>
      </c>
      <c r="KQ71">
        <v>661</v>
      </c>
      <c r="KR71" s="1">
        <v>25580</v>
      </c>
      <c r="KS71">
        <v>668</v>
      </c>
      <c r="KT71">
        <v>16</v>
      </c>
      <c r="KU71">
        <v>50</v>
      </c>
      <c r="KV71">
        <v>97</v>
      </c>
      <c r="KW71" s="1">
        <v>82663</v>
      </c>
      <c r="KY71" s="1">
        <v>262184</v>
      </c>
      <c r="KZ71" s="1">
        <v>47393</v>
      </c>
      <c r="LC71" t="s">
        <v>1659</v>
      </c>
      <c r="LD71" t="s">
        <v>709</v>
      </c>
      <c r="LE71" t="s">
        <v>1657</v>
      </c>
      <c r="LF71" t="s">
        <v>1658</v>
      </c>
      <c r="LG71">
        <v>28144</v>
      </c>
      <c r="LH71">
        <v>4935</v>
      </c>
      <c r="LI71" t="s">
        <v>1657</v>
      </c>
      <c r="LJ71" t="s">
        <v>1658</v>
      </c>
      <c r="LK71">
        <v>28144</v>
      </c>
      <c r="LL71">
        <v>4935</v>
      </c>
      <c r="LM71" t="s">
        <v>1660</v>
      </c>
      <c r="LN71">
        <v>7042168228</v>
      </c>
      <c r="LO71">
        <v>7042168237</v>
      </c>
      <c r="LP71" s="1">
        <v>71800</v>
      </c>
      <c r="LQ71">
        <v>45.98</v>
      </c>
      <c r="LS71" s="1">
        <v>9564</v>
      </c>
      <c r="LT71">
        <v>202</v>
      </c>
      <c r="LW71">
        <v>1</v>
      </c>
      <c r="LX71" t="s">
        <v>1656</v>
      </c>
      <c r="LY71">
        <v>0</v>
      </c>
      <c r="LZ71" t="s">
        <v>691</v>
      </c>
      <c r="MA71">
        <v>119.62</v>
      </c>
      <c r="MB71">
        <v>223</v>
      </c>
    </row>
    <row r="72" spans="1:340" x14ac:dyDescent="0.25">
      <c r="A72" t="s">
        <v>1671</v>
      </c>
      <c r="B72">
        <v>0</v>
      </c>
      <c r="C72">
        <v>1375</v>
      </c>
      <c r="D72">
        <v>2017</v>
      </c>
      <c r="E72">
        <v>0</v>
      </c>
      <c r="F72" t="s">
        <v>1671</v>
      </c>
      <c r="G72" t="s">
        <v>1672</v>
      </c>
      <c r="H72" t="s">
        <v>668</v>
      </c>
      <c r="I72" t="s">
        <v>669</v>
      </c>
      <c r="J72" t="s">
        <v>670</v>
      </c>
      <c r="K72" t="s">
        <v>671</v>
      </c>
      <c r="L72" t="s">
        <v>672</v>
      </c>
      <c r="M72" t="s">
        <v>673</v>
      </c>
      <c r="N72" s="1">
        <v>67617</v>
      </c>
      <c r="O72" t="s">
        <v>674</v>
      </c>
      <c r="P72">
        <v>220</v>
      </c>
      <c r="Q72">
        <v>30</v>
      </c>
      <c r="R72">
        <v>15</v>
      </c>
      <c r="S72">
        <v>12</v>
      </c>
      <c r="T72">
        <v>587</v>
      </c>
      <c r="U72">
        <v>61</v>
      </c>
      <c r="V72" s="1">
        <v>10482</v>
      </c>
      <c r="W72" s="1">
        <v>1437</v>
      </c>
      <c r="X72" s="1">
        <v>95000</v>
      </c>
      <c r="Y72" s="1">
        <v>30000</v>
      </c>
      <c r="Z72" t="s">
        <v>1673</v>
      </c>
      <c r="AA72" t="s">
        <v>1674</v>
      </c>
      <c r="AB72">
        <v>28160</v>
      </c>
      <c r="AD72" t="s">
        <v>1673</v>
      </c>
      <c r="AE72" t="s">
        <v>1674</v>
      </c>
      <c r="AF72">
        <v>28160</v>
      </c>
      <c r="AG72">
        <v>2</v>
      </c>
      <c r="AH72" t="s">
        <v>1675</v>
      </c>
      <c r="AJ72" t="s">
        <v>35</v>
      </c>
      <c r="AK72" t="s">
        <v>1676</v>
      </c>
      <c r="AL72" t="s">
        <v>1677</v>
      </c>
      <c r="AM72" t="s">
        <v>1678</v>
      </c>
      <c r="AN72" t="s">
        <v>1679</v>
      </c>
      <c r="AO72" t="s">
        <v>1680</v>
      </c>
      <c r="AP72" t="s">
        <v>1677</v>
      </c>
      <c r="AQ72" t="s">
        <v>706</v>
      </c>
      <c r="AR72" t="s">
        <v>1678</v>
      </c>
      <c r="AS72" t="s">
        <v>1679</v>
      </c>
      <c r="AT72" t="s">
        <v>1680</v>
      </c>
      <c r="AU72" t="s">
        <v>1681</v>
      </c>
      <c r="BC72">
        <v>1</v>
      </c>
      <c r="BD72">
        <v>2</v>
      </c>
      <c r="BE72">
        <v>0</v>
      </c>
      <c r="BF72">
        <v>1</v>
      </c>
      <c r="BG72">
        <v>4</v>
      </c>
      <c r="BI72" s="1">
        <v>6734</v>
      </c>
      <c r="BJ72">
        <v>1</v>
      </c>
      <c r="BK72">
        <v>2</v>
      </c>
      <c r="BL72">
        <v>3</v>
      </c>
      <c r="BM72">
        <v>6.58</v>
      </c>
      <c r="BN72">
        <v>9.58</v>
      </c>
      <c r="BO72" s="3">
        <v>0.10440000000000001</v>
      </c>
      <c r="BP72" s="1">
        <v>2710</v>
      </c>
      <c r="BQ72" s="4">
        <v>56871</v>
      </c>
      <c r="BU72" s="4">
        <v>30941</v>
      </c>
      <c r="BV72" s="4">
        <v>32500</v>
      </c>
      <c r="BW72" s="4">
        <v>31720</v>
      </c>
      <c r="CR72" s="4">
        <v>30941</v>
      </c>
      <c r="CS72" s="4">
        <v>32500</v>
      </c>
      <c r="CT72" s="4">
        <v>30941</v>
      </c>
      <c r="CV72" s="4">
        <v>28366</v>
      </c>
      <c r="CW72" s="4">
        <v>32500</v>
      </c>
      <c r="CX72" s="4">
        <v>28366</v>
      </c>
      <c r="CZ72" s="4">
        <v>30941</v>
      </c>
      <c r="DA72" s="4">
        <v>35472</v>
      </c>
      <c r="DB72" s="4">
        <v>35472</v>
      </c>
      <c r="DD72" s="4">
        <v>28366</v>
      </c>
      <c r="DE72" s="4">
        <v>32500</v>
      </c>
      <c r="DF72" s="4">
        <v>30181</v>
      </c>
      <c r="DO72" s="4">
        <v>24135</v>
      </c>
      <c r="DP72" s="4">
        <v>25679</v>
      </c>
      <c r="DQ72" s="4">
        <v>24907</v>
      </c>
      <c r="DV72" s="4">
        <v>0</v>
      </c>
      <c r="DW72" s="4">
        <v>462921</v>
      </c>
      <c r="DX72" s="4">
        <v>462921</v>
      </c>
      <c r="DY72" s="4">
        <v>123147</v>
      </c>
      <c r="DZ72" s="4">
        <v>0</v>
      </c>
      <c r="EA72" s="4">
        <v>123147</v>
      </c>
      <c r="EB72" s="4">
        <v>1145</v>
      </c>
      <c r="EC72" s="4">
        <v>0</v>
      </c>
      <c r="ED72" s="4">
        <v>1145</v>
      </c>
      <c r="EE72" s="4">
        <v>26698</v>
      </c>
      <c r="EF72" s="4">
        <v>613911</v>
      </c>
      <c r="EG72" s="4">
        <v>327351</v>
      </c>
      <c r="EH72" s="4">
        <v>129569</v>
      </c>
      <c r="EI72" s="4">
        <v>456920</v>
      </c>
      <c r="EJ72" s="4">
        <v>51824</v>
      </c>
      <c r="EK72" s="4">
        <v>16541</v>
      </c>
      <c r="EL72" s="4">
        <v>9068</v>
      </c>
      <c r="EM72" s="4">
        <v>77433</v>
      </c>
      <c r="EN72" s="4">
        <v>67875</v>
      </c>
      <c r="EO72" s="4">
        <v>602228</v>
      </c>
      <c r="EP72" s="4">
        <v>11683</v>
      </c>
      <c r="EQ72" s="3">
        <v>1.9E-2</v>
      </c>
      <c r="ER72" s="4">
        <v>0</v>
      </c>
      <c r="ES72" s="4">
        <v>0</v>
      </c>
      <c r="ET72" s="4">
        <v>0</v>
      </c>
      <c r="EU72" s="4">
        <v>0</v>
      </c>
      <c r="EV72" s="4">
        <v>0</v>
      </c>
      <c r="EW72" s="4">
        <v>0</v>
      </c>
      <c r="EX72" s="1">
        <v>32488</v>
      </c>
      <c r="EY72" s="1">
        <v>204114</v>
      </c>
      <c r="EZ72" s="1">
        <v>30735</v>
      </c>
      <c r="FA72" s="1">
        <v>2309</v>
      </c>
      <c r="FB72" s="1">
        <v>17406</v>
      </c>
      <c r="FC72" s="1">
        <v>22988</v>
      </c>
      <c r="FD72">
        <v>171</v>
      </c>
      <c r="FE72" s="1">
        <v>6578</v>
      </c>
      <c r="FF72" s="1">
        <v>53723</v>
      </c>
      <c r="FG72" s="1">
        <v>2480</v>
      </c>
      <c r="FH72" s="1">
        <v>23984</v>
      </c>
      <c r="FI72" s="1">
        <v>80187</v>
      </c>
      <c r="FJ72">
        <v>0</v>
      </c>
      <c r="FK72">
        <v>53</v>
      </c>
      <c r="FM72" s="1">
        <v>80187</v>
      </c>
      <c r="FN72" s="1">
        <v>4655</v>
      </c>
      <c r="FO72" s="1">
        <v>10870</v>
      </c>
      <c r="FP72">
        <v>112</v>
      </c>
      <c r="FQ72">
        <v>1</v>
      </c>
      <c r="FR72">
        <v>88</v>
      </c>
      <c r="FS72">
        <v>89</v>
      </c>
      <c r="FT72" s="1">
        <v>44141</v>
      </c>
      <c r="FU72" s="1">
        <v>3505</v>
      </c>
      <c r="FV72">
        <v>0</v>
      </c>
      <c r="FW72">
        <v>0</v>
      </c>
      <c r="FX72" s="1">
        <v>8544</v>
      </c>
      <c r="FY72" s="1">
        <v>1573</v>
      </c>
      <c r="FZ72">
        <v>322</v>
      </c>
      <c r="GA72">
        <v>0</v>
      </c>
      <c r="GF72" s="1">
        <v>36593</v>
      </c>
      <c r="GG72" s="1">
        <v>13194</v>
      </c>
      <c r="GH72">
        <v>264</v>
      </c>
      <c r="GI72">
        <v>12</v>
      </c>
      <c r="GJ72">
        <v>0</v>
      </c>
      <c r="GK72">
        <v>0</v>
      </c>
      <c r="GL72">
        <v>0</v>
      </c>
      <c r="GN72" s="1">
        <v>89278</v>
      </c>
      <c r="GO72" s="1">
        <v>18272</v>
      </c>
      <c r="GP72">
        <v>586</v>
      </c>
      <c r="GQ72">
        <v>12</v>
      </c>
      <c r="GR72">
        <v>28</v>
      </c>
      <c r="GT72" s="1">
        <v>54009</v>
      </c>
      <c r="GU72" s="1">
        <v>5432</v>
      </c>
      <c r="GV72" s="1">
        <v>38594</v>
      </c>
      <c r="GW72" s="1">
        <v>14011</v>
      </c>
      <c r="GX72">
        <v>154</v>
      </c>
      <c r="GY72" s="1">
        <v>6988</v>
      </c>
      <c r="GZ72" s="1">
        <v>68020</v>
      </c>
      <c r="HA72" s="1">
        <v>5586</v>
      </c>
      <c r="HB72" s="1">
        <v>45582</v>
      </c>
      <c r="HC72" s="1">
        <v>119188</v>
      </c>
      <c r="HD72" s="1">
        <v>11439</v>
      </c>
      <c r="HE72" s="1">
        <v>130627</v>
      </c>
      <c r="HF72" s="1">
        <v>8902</v>
      </c>
      <c r="HG72" s="1">
        <v>57555</v>
      </c>
      <c r="HH72">
        <v>0</v>
      </c>
      <c r="HI72">
        <v>0</v>
      </c>
      <c r="HJ72" s="1">
        <v>66457</v>
      </c>
      <c r="HK72" s="1">
        <v>197084</v>
      </c>
      <c r="HL72">
        <v>81</v>
      </c>
      <c r="HM72" s="1">
        <v>10249</v>
      </c>
      <c r="HN72" s="1">
        <v>10330</v>
      </c>
      <c r="HO72">
        <v>14</v>
      </c>
      <c r="HP72" s="1">
        <v>5823</v>
      </c>
      <c r="HQ72" s="1">
        <v>5837</v>
      </c>
      <c r="HR72">
        <v>0</v>
      </c>
      <c r="HS72">
        <v>58</v>
      </c>
      <c r="HT72">
        <v>58</v>
      </c>
      <c r="HU72">
        <v>12</v>
      </c>
      <c r="HV72" s="1">
        <v>16237</v>
      </c>
      <c r="HW72" s="1">
        <v>11933</v>
      </c>
      <c r="HX72" s="1">
        <v>3948</v>
      </c>
      <c r="HY72" s="1">
        <v>15881</v>
      </c>
      <c r="HZ72" s="1">
        <v>32118</v>
      </c>
      <c r="IA72" s="1">
        <v>14739</v>
      </c>
      <c r="IB72" s="1">
        <v>72352</v>
      </c>
      <c r="IC72" s="1">
        <v>213321</v>
      </c>
      <c r="ID72" s="1">
        <v>213321</v>
      </c>
      <c r="IE72" s="1">
        <v>229202</v>
      </c>
      <c r="IF72" s="1">
        <v>51168</v>
      </c>
      <c r="IG72">
        <v>544</v>
      </c>
      <c r="IJ72">
        <v>1</v>
      </c>
      <c r="IK72" s="3">
        <v>5.6099999999999997E-2</v>
      </c>
      <c r="IL72" s="3">
        <v>2.9999999999999997E-4</v>
      </c>
      <c r="IM72" s="3">
        <v>0.52980000000000005</v>
      </c>
      <c r="IN72" s="3">
        <v>0</v>
      </c>
      <c r="IO72" s="3">
        <v>0.43740000000000001</v>
      </c>
      <c r="IP72" s="3">
        <v>4.0000000000000002E-4</v>
      </c>
      <c r="IQ72" s="3">
        <v>0.39290000000000003</v>
      </c>
      <c r="IR72" s="3">
        <v>0.1123</v>
      </c>
      <c r="IS72" s="3">
        <v>0.2399</v>
      </c>
      <c r="IT72" s="1">
        <v>11876</v>
      </c>
      <c r="IU72" s="1">
        <v>1789</v>
      </c>
      <c r="IV72" s="1">
        <v>13665</v>
      </c>
      <c r="IW72" s="3">
        <v>0.2021</v>
      </c>
      <c r="IX72" s="1">
        <v>78245</v>
      </c>
      <c r="IZ72">
        <v>124</v>
      </c>
      <c r="JA72">
        <v>24</v>
      </c>
      <c r="JB72">
        <v>164</v>
      </c>
      <c r="JC72">
        <v>8</v>
      </c>
      <c r="JD72">
        <v>5</v>
      </c>
      <c r="JE72">
        <v>8</v>
      </c>
      <c r="JF72">
        <v>132</v>
      </c>
      <c r="JG72">
        <v>29</v>
      </c>
      <c r="JH72">
        <v>172</v>
      </c>
      <c r="JI72">
        <v>333</v>
      </c>
      <c r="JJ72">
        <v>312</v>
      </c>
      <c r="JK72">
        <v>21</v>
      </c>
      <c r="JL72" s="1">
        <v>1743</v>
      </c>
      <c r="JM72">
        <v>295</v>
      </c>
      <c r="JN72" s="1">
        <v>2859</v>
      </c>
      <c r="JO72">
        <v>269</v>
      </c>
      <c r="JP72">
        <v>179</v>
      </c>
      <c r="JQ72">
        <v>728</v>
      </c>
      <c r="JR72" s="1">
        <v>2012</v>
      </c>
      <c r="JS72">
        <v>474</v>
      </c>
      <c r="JT72" s="1">
        <v>3587</v>
      </c>
      <c r="JU72" s="1">
        <v>6073</v>
      </c>
      <c r="JV72" s="1">
        <v>4897</v>
      </c>
      <c r="JW72" s="1">
        <v>1176</v>
      </c>
      <c r="JX72">
        <v>18.239999999999998</v>
      </c>
      <c r="JY72">
        <v>15.24</v>
      </c>
      <c r="JZ72">
        <v>20.85</v>
      </c>
      <c r="KA72">
        <v>0.33</v>
      </c>
      <c r="KB72">
        <v>0.59</v>
      </c>
      <c r="KC72">
        <v>9</v>
      </c>
      <c r="KD72">
        <v>134</v>
      </c>
      <c r="KE72">
        <v>55</v>
      </c>
      <c r="KF72">
        <v>686</v>
      </c>
      <c r="KG72">
        <v>91</v>
      </c>
      <c r="KH72" s="1">
        <v>1620</v>
      </c>
      <c r="KI72">
        <v>25</v>
      </c>
      <c r="KJ72">
        <v>261</v>
      </c>
      <c r="KK72">
        <v>65</v>
      </c>
      <c r="KL72">
        <v>728</v>
      </c>
      <c r="KM72" s="1">
        <v>30635</v>
      </c>
      <c r="KN72" s="1">
        <v>2646</v>
      </c>
      <c r="KO72">
        <v>240</v>
      </c>
      <c r="KQ72">
        <v>93</v>
      </c>
      <c r="KR72" s="1">
        <v>3116</v>
      </c>
      <c r="KS72" s="1">
        <v>7918</v>
      </c>
      <c r="KT72" s="1">
        <v>5670</v>
      </c>
      <c r="KU72">
        <v>17</v>
      </c>
      <c r="KV72">
        <v>34</v>
      </c>
      <c r="KW72" s="1">
        <v>20241</v>
      </c>
      <c r="KY72" s="1">
        <v>45175</v>
      </c>
      <c r="KZ72" s="1">
        <v>21540</v>
      </c>
      <c r="LC72" t="s">
        <v>1675</v>
      </c>
      <c r="LD72" t="s">
        <v>709</v>
      </c>
      <c r="LE72" t="s">
        <v>1673</v>
      </c>
      <c r="LF72" t="s">
        <v>1674</v>
      </c>
      <c r="LG72">
        <v>28160</v>
      </c>
      <c r="LI72" t="s">
        <v>1673</v>
      </c>
      <c r="LJ72" t="s">
        <v>1674</v>
      </c>
      <c r="LK72">
        <v>28160</v>
      </c>
      <c r="LM72" t="s">
        <v>1676</v>
      </c>
      <c r="LN72">
        <v>8282876115</v>
      </c>
      <c r="LO72">
        <v>8282876119</v>
      </c>
      <c r="LP72" s="1">
        <v>15281</v>
      </c>
      <c r="LQ72">
        <v>9.8800000000000008</v>
      </c>
      <c r="LS72" s="1">
        <v>6734</v>
      </c>
      <c r="LT72">
        <v>156</v>
      </c>
      <c r="LW72">
        <v>2</v>
      </c>
      <c r="LX72" t="s">
        <v>1682</v>
      </c>
      <c r="LY72">
        <v>0</v>
      </c>
      <c r="LZ72" t="s">
        <v>691</v>
      </c>
      <c r="MA72">
        <v>5</v>
      </c>
      <c r="MB72">
        <v>20</v>
      </c>
    </row>
    <row r="73" spans="1:340" x14ac:dyDescent="0.25">
      <c r="A73" t="s">
        <v>1683</v>
      </c>
      <c r="B73">
        <v>0</v>
      </c>
      <c r="C73">
        <v>1375</v>
      </c>
      <c r="D73">
        <v>2017</v>
      </c>
      <c r="E73">
        <v>0</v>
      </c>
      <c r="F73" t="s">
        <v>1683</v>
      </c>
      <c r="G73" t="s">
        <v>1684</v>
      </c>
      <c r="H73" t="s">
        <v>668</v>
      </c>
      <c r="I73" t="s">
        <v>669</v>
      </c>
      <c r="J73" t="s">
        <v>670</v>
      </c>
      <c r="K73" t="s">
        <v>671</v>
      </c>
      <c r="L73" t="s">
        <v>672</v>
      </c>
      <c r="M73" t="s">
        <v>673</v>
      </c>
      <c r="N73" s="1">
        <v>63993</v>
      </c>
      <c r="O73" t="s">
        <v>806</v>
      </c>
      <c r="P73">
        <v>303</v>
      </c>
      <c r="Q73">
        <v>0</v>
      </c>
      <c r="R73">
        <v>21</v>
      </c>
      <c r="S73">
        <v>0</v>
      </c>
      <c r="T73">
        <v>657</v>
      </c>
      <c r="U73">
        <v>0</v>
      </c>
      <c r="V73" s="1">
        <v>25033</v>
      </c>
      <c r="W73" s="1">
        <v>1112</v>
      </c>
      <c r="Z73" t="s">
        <v>1685</v>
      </c>
      <c r="AA73" t="s">
        <v>1686</v>
      </c>
      <c r="AB73">
        <v>28328</v>
      </c>
      <c r="AC73">
        <v>4111</v>
      </c>
      <c r="AD73" t="s">
        <v>1685</v>
      </c>
      <c r="AE73" t="s">
        <v>1686</v>
      </c>
      <c r="AF73">
        <v>28328</v>
      </c>
      <c r="AG73">
        <v>2</v>
      </c>
      <c r="AH73" t="s">
        <v>1687</v>
      </c>
      <c r="AJ73" t="s">
        <v>35</v>
      </c>
      <c r="AK73" t="s">
        <v>1688</v>
      </c>
      <c r="AL73" t="s">
        <v>1689</v>
      </c>
      <c r="AM73" t="s">
        <v>1690</v>
      </c>
      <c r="AN73" t="s">
        <v>1691</v>
      </c>
      <c r="AO73" t="s">
        <v>1692</v>
      </c>
      <c r="AP73" t="s">
        <v>1689</v>
      </c>
      <c r="AQ73" t="s">
        <v>36</v>
      </c>
      <c r="AR73" t="s">
        <v>1690</v>
      </c>
      <c r="AS73" t="s">
        <v>1691</v>
      </c>
      <c r="AT73" t="s">
        <v>1692</v>
      </c>
      <c r="AU73" t="s">
        <v>1693</v>
      </c>
      <c r="BC73">
        <v>1</v>
      </c>
      <c r="BD73">
        <v>3</v>
      </c>
      <c r="BE73">
        <v>0</v>
      </c>
      <c r="BF73">
        <v>2</v>
      </c>
      <c r="BG73">
        <v>6</v>
      </c>
      <c r="BI73" s="1">
        <v>7644</v>
      </c>
      <c r="BJ73">
        <v>1</v>
      </c>
      <c r="BK73">
        <v>0</v>
      </c>
      <c r="BL73">
        <v>1</v>
      </c>
      <c r="BM73">
        <v>12.3</v>
      </c>
      <c r="BN73">
        <v>13.3</v>
      </c>
      <c r="BO73" s="3">
        <v>7.5200000000000003E-2</v>
      </c>
      <c r="BP73">
        <v>0</v>
      </c>
      <c r="BQ73" s="4">
        <v>62964</v>
      </c>
      <c r="BU73" s="4">
        <v>39649</v>
      </c>
      <c r="BV73" s="4">
        <v>60877</v>
      </c>
      <c r="BW73" s="4">
        <v>35748</v>
      </c>
      <c r="CR73" s="4">
        <v>35709</v>
      </c>
      <c r="CS73" s="4">
        <v>55349</v>
      </c>
      <c r="CT73" s="4">
        <v>35268</v>
      </c>
      <c r="CV73" s="4">
        <v>35709</v>
      </c>
      <c r="CW73" s="4">
        <v>55349</v>
      </c>
      <c r="CX73" s="4">
        <v>33264</v>
      </c>
      <c r="CZ73" s="4">
        <v>30846</v>
      </c>
      <c r="DA73" s="4">
        <v>47821</v>
      </c>
      <c r="DB73" s="4">
        <v>31248</v>
      </c>
      <c r="DD73" s="4">
        <v>23020</v>
      </c>
      <c r="DE73" s="4">
        <v>35691</v>
      </c>
      <c r="DF73" s="4">
        <v>22962</v>
      </c>
      <c r="DH73" s="4">
        <v>30846</v>
      </c>
      <c r="DI73" s="4">
        <v>47821</v>
      </c>
      <c r="DJ73" s="4">
        <v>28992</v>
      </c>
      <c r="DV73" s="4">
        <v>4000</v>
      </c>
      <c r="DW73" s="4">
        <v>685912</v>
      </c>
      <c r="DX73" s="4">
        <v>689912</v>
      </c>
      <c r="DY73" s="4">
        <v>119379</v>
      </c>
      <c r="DZ73" s="4">
        <v>0</v>
      </c>
      <c r="EA73" s="4">
        <v>119379</v>
      </c>
      <c r="EB73" s="4">
        <v>0</v>
      </c>
      <c r="EC73" s="4">
        <v>0</v>
      </c>
      <c r="ED73" s="4">
        <v>0</v>
      </c>
      <c r="EE73" s="4">
        <v>31448</v>
      </c>
      <c r="EF73" s="4">
        <v>840739</v>
      </c>
      <c r="EG73" s="4">
        <v>390472</v>
      </c>
      <c r="EH73" s="4">
        <v>177071</v>
      </c>
      <c r="EI73" s="4">
        <v>567543</v>
      </c>
      <c r="EJ73" s="4">
        <v>88652</v>
      </c>
      <c r="EK73" s="4">
        <v>14914</v>
      </c>
      <c r="EL73" s="4">
        <v>10160</v>
      </c>
      <c r="EM73" s="4">
        <v>113726</v>
      </c>
      <c r="EN73" s="4">
        <v>92129</v>
      </c>
      <c r="EO73" s="4">
        <v>773398</v>
      </c>
      <c r="EP73" s="4">
        <v>67341</v>
      </c>
      <c r="EQ73" s="3">
        <v>8.0100000000000005E-2</v>
      </c>
      <c r="ER73" s="4">
        <v>0</v>
      </c>
      <c r="ES73" s="4">
        <v>0</v>
      </c>
      <c r="ET73" s="4">
        <v>0</v>
      </c>
      <c r="EU73" s="4">
        <v>0</v>
      </c>
      <c r="EV73" s="4">
        <v>0</v>
      </c>
      <c r="EW73" s="4">
        <v>0</v>
      </c>
      <c r="EX73" s="1">
        <v>10052</v>
      </c>
      <c r="EY73" s="1">
        <v>171170</v>
      </c>
      <c r="EZ73" s="1">
        <v>26725</v>
      </c>
      <c r="FA73" s="1">
        <v>2369</v>
      </c>
      <c r="FB73" s="1">
        <v>22423</v>
      </c>
      <c r="FC73" s="1">
        <v>18773</v>
      </c>
      <c r="FD73">
        <v>349</v>
      </c>
      <c r="FE73" s="1">
        <v>8005</v>
      </c>
      <c r="FF73" s="1">
        <v>45498</v>
      </c>
      <c r="FG73" s="1">
        <v>2718</v>
      </c>
      <c r="FH73" s="1">
        <v>30428</v>
      </c>
      <c r="FI73" s="1">
        <v>78644</v>
      </c>
      <c r="FJ73">
        <v>0</v>
      </c>
      <c r="FK73">
        <v>106</v>
      </c>
      <c r="FM73" s="1">
        <v>78644</v>
      </c>
      <c r="FN73">
        <v>786</v>
      </c>
      <c r="FO73" s="1">
        <v>4013</v>
      </c>
      <c r="FP73">
        <v>973</v>
      </c>
      <c r="FQ73">
        <v>3</v>
      </c>
      <c r="FR73">
        <v>88</v>
      </c>
      <c r="FS73">
        <v>91</v>
      </c>
      <c r="FT73" s="1">
        <v>44141</v>
      </c>
      <c r="FU73" s="1">
        <v>3505</v>
      </c>
      <c r="FV73">
        <v>0</v>
      </c>
      <c r="FW73">
        <v>0</v>
      </c>
      <c r="FX73" s="1">
        <v>8544</v>
      </c>
      <c r="FY73" s="1">
        <v>1573</v>
      </c>
      <c r="FZ73">
        <v>322</v>
      </c>
      <c r="GA73">
        <v>0</v>
      </c>
      <c r="GB73" s="1">
        <v>26436</v>
      </c>
      <c r="GC73" s="1">
        <v>1747</v>
      </c>
      <c r="GD73">
        <v>278</v>
      </c>
      <c r="GE73">
        <v>0</v>
      </c>
      <c r="GJ73">
        <v>10</v>
      </c>
      <c r="GK73">
        <v>1</v>
      </c>
      <c r="GL73">
        <v>0</v>
      </c>
      <c r="GM73">
        <v>0</v>
      </c>
      <c r="GN73" s="1">
        <v>79131</v>
      </c>
      <c r="GO73" s="1">
        <v>6826</v>
      </c>
      <c r="GP73">
        <v>600</v>
      </c>
      <c r="GQ73">
        <v>0</v>
      </c>
      <c r="GR73">
        <v>2</v>
      </c>
      <c r="GT73" s="1">
        <v>45411</v>
      </c>
      <c r="GU73" s="1">
        <v>3238</v>
      </c>
      <c r="GV73" s="1">
        <v>54404</v>
      </c>
      <c r="GW73" s="1">
        <v>15558</v>
      </c>
      <c r="GX73">
        <v>162</v>
      </c>
      <c r="GY73" s="1">
        <v>9271</v>
      </c>
      <c r="GZ73" s="1">
        <v>60969</v>
      </c>
      <c r="HA73" s="1">
        <v>3400</v>
      </c>
      <c r="HB73" s="1">
        <v>63675</v>
      </c>
      <c r="HC73" s="1">
        <v>128044</v>
      </c>
      <c r="HD73" s="1">
        <v>4304</v>
      </c>
      <c r="HE73" s="1">
        <v>138446</v>
      </c>
      <c r="HF73" s="1">
        <v>1001</v>
      </c>
      <c r="HG73" s="1">
        <v>20706</v>
      </c>
      <c r="HH73" s="1">
        <v>6098</v>
      </c>
      <c r="HI73">
        <v>1</v>
      </c>
      <c r="HJ73" s="1">
        <v>21708</v>
      </c>
      <c r="HK73" s="1">
        <v>160154</v>
      </c>
      <c r="HL73">
        <v>14</v>
      </c>
      <c r="HM73" s="1">
        <v>2232</v>
      </c>
      <c r="HN73" s="1">
        <v>2246</v>
      </c>
      <c r="HO73">
        <v>1</v>
      </c>
      <c r="HP73">
        <v>298</v>
      </c>
      <c r="HQ73">
        <v>299</v>
      </c>
      <c r="HR73">
        <v>0</v>
      </c>
      <c r="HS73">
        <v>19</v>
      </c>
      <c r="HT73">
        <v>19</v>
      </c>
      <c r="HU73">
        <v>18</v>
      </c>
      <c r="HV73" s="1">
        <v>2582</v>
      </c>
      <c r="HW73" s="1">
        <v>4345</v>
      </c>
      <c r="HX73">
        <v>0</v>
      </c>
      <c r="HY73" s="1">
        <v>4345</v>
      </c>
      <c r="HZ73" s="1">
        <v>6927</v>
      </c>
      <c r="IA73" s="1">
        <v>1300</v>
      </c>
      <c r="IB73" s="1">
        <v>22025</v>
      </c>
      <c r="IC73" s="1">
        <v>162736</v>
      </c>
      <c r="ID73" s="1">
        <v>162736</v>
      </c>
      <c r="IE73" s="1">
        <v>167081</v>
      </c>
      <c r="IF73" s="1">
        <v>67078</v>
      </c>
      <c r="IG73">
        <v>-1</v>
      </c>
      <c r="IK73" s="3">
        <v>2.69E-2</v>
      </c>
      <c r="IL73" s="3">
        <v>5.9999999999999995E-4</v>
      </c>
      <c r="IM73" s="3">
        <v>0.50570000000000004</v>
      </c>
      <c r="IN73" s="3">
        <v>0</v>
      </c>
      <c r="IO73" s="3">
        <v>0.46229999999999999</v>
      </c>
      <c r="IP73" s="3">
        <v>5.0000000000000001E-4</v>
      </c>
      <c r="IQ73" s="3">
        <v>0.45939999999999998</v>
      </c>
      <c r="IR73" s="3">
        <v>4.4499999999999998E-2</v>
      </c>
      <c r="IS73" s="3">
        <v>0.41220000000000001</v>
      </c>
      <c r="IT73" s="1">
        <v>7569</v>
      </c>
      <c r="IU73" s="1">
        <v>1644</v>
      </c>
      <c r="IV73" s="1">
        <v>9213</v>
      </c>
      <c r="IW73" s="3">
        <v>0.14399999999999999</v>
      </c>
      <c r="IX73" s="1">
        <v>91032</v>
      </c>
      <c r="IZ73">
        <v>0</v>
      </c>
      <c r="JA73">
        <v>0</v>
      </c>
      <c r="JB73">
        <v>33</v>
      </c>
      <c r="JC73">
        <v>0</v>
      </c>
      <c r="JD73">
        <v>0</v>
      </c>
      <c r="JE73">
        <v>116</v>
      </c>
      <c r="JF73">
        <v>0</v>
      </c>
      <c r="JG73">
        <v>0</v>
      </c>
      <c r="JH73">
        <v>149</v>
      </c>
      <c r="JI73">
        <v>149</v>
      </c>
      <c r="JJ73">
        <v>33</v>
      </c>
      <c r="JK73">
        <v>116</v>
      </c>
      <c r="JL73">
        <v>0</v>
      </c>
      <c r="JM73">
        <v>0</v>
      </c>
      <c r="JN73">
        <v>964</v>
      </c>
      <c r="JO73">
        <v>0</v>
      </c>
      <c r="JP73">
        <v>0</v>
      </c>
      <c r="JQ73">
        <v>402</v>
      </c>
      <c r="JR73">
        <v>0</v>
      </c>
      <c r="JS73">
        <v>0</v>
      </c>
      <c r="JT73" s="1">
        <v>1366</v>
      </c>
      <c r="JU73" s="1">
        <v>1366</v>
      </c>
      <c r="JV73">
        <v>964</v>
      </c>
      <c r="JW73">
        <v>402</v>
      </c>
      <c r="JX73">
        <v>9.17</v>
      </c>
      <c r="JY73">
        <v>0</v>
      </c>
      <c r="JZ73">
        <v>9.17</v>
      </c>
      <c r="KA73">
        <v>0</v>
      </c>
      <c r="KB73">
        <v>1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 s="1">
        <v>52000</v>
      </c>
      <c r="KN73" s="1">
        <v>2600</v>
      </c>
      <c r="KO73">
        <v>-1</v>
      </c>
      <c r="KS73">
        <v>6</v>
      </c>
      <c r="KT73">
        <v>140</v>
      </c>
      <c r="KU73">
        <v>16</v>
      </c>
      <c r="KV73">
        <v>32</v>
      </c>
      <c r="KW73" s="1">
        <v>21654</v>
      </c>
      <c r="LC73" t="s">
        <v>1694</v>
      </c>
      <c r="LD73" t="s">
        <v>709</v>
      </c>
      <c r="LE73" t="s">
        <v>1685</v>
      </c>
      <c r="LF73" t="s">
        <v>1686</v>
      </c>
      <c r="LG73">
        <v>28328</v>
      </c>
      <c r="LH73">
        <v>4111</v>
      </c>
      <c r="LI73" t="s">
        <v>1685</v>
      </c>
      <c r="LJ73" t="s">
        <v>1686</v>
      </c>
      <c r="LK73">
        <v>28328</v>
      </c>
      <c r="LL73">
        <v>4111</v>
      </c>
      <c r="LM73" t="s">
        <v>1688</v>
      </c>
      <c r="LN73">
        <v>9105924153</v>
      </c>
      <c r="LO73">
        <v>9105903504</v>
      </c>
      <c r="LP73" s="1">
        <v>16320</v>
      </c>
      <c r="LQ73">
        <v>12.12</v>
      </c>
      <c r="LS73" s="1">
        <v>7644</v>
      </c>
      <c r="LT73">
        <v>208</v>
      </c>
      <c r="LW73">
        <v>7</v>
      </c>
      <c r="LX73" t="s">
        <v>1695</v>
      </c>
      <c r="LY73">
        <v>0</v>
      </c>
      <c r="LZ73" t="s">
        <v>691</v>
      </c>
      <c r="MA73">
        <v>25</v>
      </c>
      <c r="MB73">
        <v>25</v>
      </c>
    </row>
    <row r="74" spans="1:340" x14ac:dyDescent="0.25">
      <c r="A74" t="s">
        <v>1696</v>
      </c>
      <c r="B74">
        <v>0</v>
      </c>
      <c r="C74">
        <v>1375</v>
      </c>
      <c r="D74">
        <v>2017</v>
      </c>
      <c r="E74">
        <v>0</v>
      </c>
      <c r="F74" t="s">
        <v>1696</v>
      </c>
      <c r="G74" t="s">
        <v>1697</v>
      </c>
      <c r="H74" t="s">
        <v>668</v>
      </c>
      <c r="I74" t="s">
        <v>694</v>
      </c>
      <c r="J74" t="s">
        <v>725</v>
      </c>
      <c r="K74" t="s">
        <v>671</v>
      </c>
      <c r="L74" t="s">
        <v>762</v>
      </c>
      <c r="M74" t="s">
        <v>673</v>
      </c>
      <c r="N74" s="1">
        <v>248372</v>
      </c>
      <c r="O74" t="s">
        <v>674</v>
      </c>
      <c r="P74" s="1">
        <v>1158</v>
      </c>
      <c r="Q74">
        <v>215</v>
      </c>
      <c r="R74">
        <v>125</v>
      </c>
      <c r="S74">
        <v>26</v>
      </c>
      <c r="T74" s="1">
        <v>16024</v>
      </c>
      <c r="U74">
        <v>301</v>
      </c>
      <c r="V74" s="1">
        <v>40371</v>
      </c>
      <c r="W74" s="1">
        <v>5547</v>
      </c>
      <c r="X74" s="1">
        <v>455667</v>
      </c>
      <c r="Y74" s="1">
        <v>77984</v>
      </c>
      <c r="Z74" t="s">
        <v>1698</v>
      </c>
      <c r="AA74" t="s">
        <v>1643</v>
      </c>
      <c r="AB74">
        <v>28379</v>
      </c>
      <c r="AC74">
        <v>3607</v>
      </c>
      <c r="AD74" t="s">
        <v>1698</v>
      </c>
      <c r="AE74" t="s">
        <v>1643</v>
      </c>
      <c r="AF74">
        <v>28379</v>
      </c>
      <c r="AG74">
        <v>2</v>
      </c>
      <c r="AH74" t="s">
        <v>1699</v>
      </c>
      <c r="AJ74" t="s">
        <v>700</v>
      </c>
      <c r="AK74" t="s">
        <v>1700</v>
      </c>
      <c r="AL74" t="s">
        <v>1701</v>
      </c>
      <c r="AM74" t="s">
        <v>1702</v>
      </c>
      <c r="AN74" t="s">
        <v>1703</v>
      </c>
      <c r="AO74" t="s">
        <v>1704</v>
      </c>
      <c r="AP74" t="s">
        <v>1705</v>
      </c>
      <c r="AQ74" t="s">
        <v>1122</v>
      </c>
      <c r="AR74" t="s">
        <v>1702</v>
      </c>
      <c r="AS74" t="s">
        <v>1703</v>
      </c>
      <c r="AT74" t="s">
        <v>1706</v>
      </c>
      <c r="AU74" t="s">
        <v>1707</v>
      </c>
      <c r="BC74">
        <v>0</v>
      </c>
      <c r="BD74">
        <v>15</v>
      </c>
      <c r="BE74">
        <v>2</v>
      </c>
      <c r="BF74">
        <v>1</v>
      </c>
      <c r="BG74">
        <v>18</v>
      </c>
      <c r="BI74" s="1">
        <v>27523</v>
      </c>
      <c r="BJ74">
        <v>5</v>
      </c>
      <c r="BK74">
        <v>1</v>
      </c>
      <c r="BL74">
        <v>6</v>
      </c>
      <c r="BM74">
        <v>40.03</v>
      </c>
      <c r="BN74">
        <v>46.03</v>
      </c>
      <c r="BO74" s="3">
        <v>0.1086</v>
      </c>
      <c r="BP74" s="1">
        <v>1866</v>
      </c>
      <c r="BQ74" s="4">
        <v>61200</v>
      </c>
      <c r="BU74" s="4">
        <v>39500</v>
      </c>
      <c r="BV74" s="4">
        <v>42840</v>
      </c>
      <c r="BW74" s="4">
        <v>42005</v>
      </c>
      <c r="CG74" s="4">
        <v>50072</v>
      </c>
      <c r="CH74" s="4">
        <v>50072</v>
      </c>
      <c r="CI74" s="4">
        <v>50072</v>
      </c>
      <c r="DV74" s="4">
        <v>162710</v>
      </c>
      <c r="DW74" s="4">
        <v>1808356</v>
      </c>
      <c r="DX74" s="4">
        <v>1971066</v>
      </c>
      <c r="DY74" s="4">
        <v>548476</v>
      </c>
      <c r="DZ74" s="4">
        <v>20000</v>
      </c>
      <c r="EA74" s="4">
        <v>568476</v>
      </c>
      <c r="EB74" s="4">
        <v>31931</v>
      </c>
      <c r="EC74" s="4">
        <v>122248</v>
      </c>
      <c r="ED74" s="4">
        <v>154179</v>
      </c>
      <c r="EE74" s="4">
        <v>142963</v>
      </c>
      <c r="EF74" s="4">
        <v>2836684</v>
      </c>
      <c r="EG74" s="4">
        <v>1356726</v>
      </c>
      <c r="EH74" s="4">
        <v>525514</v>
      </c>
      <c r="EI74" s="4">
        <v>1882240</v>
      </c>
      <c r="EJ74" s="4">
        <v>264723</v>
      </c>
      <c r="EK74" s="4">
        <v>40275</v>
      </c>
      <c r="EL74" s="4">
        <v>39726</v>
      </c>
      <c r="EM74" s="4">
        <v>344724</v>
      </c>
      <c r="EN74" s="4">
        <v>511084</v>
      </c>
      <c r="EO74" s="4">
        <v>2738048</v>
      </c>
      <c r="EP74" s="4">
        <v>98636</v>
      </c>
      <c r="EQ74" s="3">
        <v>3.4799999999999998E-2</v>
      </c>
      <c r="ER74" s="4">
        <v>0</v>
      </c>
      <c r="ES74" s="4">
        <v>0</v>
      </c>
      <c r="ET74" s="4">
        <v>0</v>
      </c>
      <c r="EU74" s="4">
        <v>0</v>
      </c>
      <c r="EV74" s="4">
        <v>0</v>
      </c>
      <c r="EW74" s="4">
        <v>0</v>
      </c>
      <c r="EX74" s="1">
        <v>27697</v>
      </c>
      <c r="EY74" s="1">
        <v>406012</v>
      </c>
      <c r="EZ74" s="1">
        <v>110479</v>
      </c>
      <c r="FA74" s="1">
        <v>16424</v>
      </c>
      <c r="FB74" s="1">
        <v>69647</v>
      </c>
      <c r="FC74" s="1">
        <v>79525</v>
      </c>
      <c r="FD74" s="1">
        <v>1423</v>
      </c>
      <c r="FE74" s="1">
        <v>34059</v>
      </c>
      <c r="FF74" s="1">
        <v>190004</v>
      </c>
      <c r="FG74" s="1">
        <v>17847</v>
      </c>
      <c r="FH74" s="1">
        <v>103706</v>
      </c>
      <c r="FI74" s="1">
        <v>311557</v>
      </c>
      <c r="FJ74" s="1">
        <v>9120</v>
      </c>
      <c r="FK74">
        <v>230</v>
      </c>
      <c r="FM74" s="1">
        <v>311557</v>
      </c>
      <c r="FN74" s="1">
        <v>6868</v>
      </c>
      <c r="FO74" s="1">
        <v>17124</v>
      </c>
      <c r="FP74" s="1">
        <v>1022</v>
      </c>
      <c r="FQ74">
        <v>5</v>
      </c>
      <c r="FR74">
        <v>88</v>
      </c>
      <c r="FS74">
        <v>93</v>
      </c>
      <c r="FT74" s="1">
        <v>44141</v>
      </c>
      <c r="FU74" s="1">
        <v>3505</v>
      </c>
      <c r="FV74">
        <v>0</v>
      </c>
      <c r="FW74">
        <v>0</v>
      </c>
      <c r="FX74" s="1">
        <v>8544</v>
      </c>
      <c r="FY74" s="1">
        <v>1573</v>
      </c>
      <c r="FZ74">
        <v>322</v>
      </c>
      <c r="GA74">
        <v>0</v>
      </c>
      <c r="GJ74" s="1">
        <v>1656</v>
      </c>
      <c r="GK74">
        <v>200</v>
      </c>
      <c r="GL74">
        <v>0</v>
      </c>
      <c r="GM74">
        <v>57</v>
      </c>
      <c r="GN74" s="1">
        <v>54341</v>
      </c>
      <c r="GO74" s="1">
        <v>5278</v>
      </c>
      <c r="GP74">
        <v>322</v>
      </c>
      <c r="GQ74">
        <v>57</v>
      </c>
      <c r="GR74">
        <v>184</v>
      </c>
      <c r="GT74" s="1">
        <v>105696</v>
      </c>
      <c r="GU74" s="1">
        <v>17429</v>
      </c>
      <c r="GV74" s="1">
        <v>111397</v>
      </c>
      <c r="GW74" s="1">
        <v>22339</v>
      </c>
      <c r="GX74">
        <v>438</v>
      </c>
      <c r="GY74" s="1">
        <v>19837</v>
      </c>
      <c r="GZ74" s="1">
        <v>128035</v>
      </c>
      <c r="HA74" s="1">
        <v>17867</v>
      </c>
      <c r="HB74" s="1">
        <v>131234</v>
      </c>
      <c r="HC74" s="1">
        <v>277136</v>
      </c>
      <c r="HD74" s="1">
        <v>1676</v>
      </c>
      <c r="HE74" s="1">
        <v>293015</v>
      </c>
      <c r="HF74" s="1">
        <v>10110</v>
      </c>
      <c r="HG74" s="1">
        <v>34429</v>
      </c>
      <c r="HH74" s="1">
        <v>14203</v>
      </c>
      <c r="HI74" s="1">
        <v>1391</v>
      </c>
      <c r="HJ74" s="1">
        <v>45930</v>
      </c>
      <c r="HK74" s="1">
        <v>338945</v>
      </c>
      <c r="HL74">
        <v>105</v>
      </c>
      <c r="HM74" s="1">
        <v>10497</v>
      </c>
      <c r="HN74" s="1">
        <v>10602</v>
      </c>
      <c r="HO74">
        <v>716</v>
      </c>
      <c r="HP74">
        <v>922</v>
      </c>
      <c r="HQ74" s="1">
        <v>1638</v>
      </c>
      <c r="HR74">
        <v>0</v>
      </c>
      <c r="HS74">
        <v>0</v>
      </c>
      <c r="HT74">
        <v>0</v>
      </c>
      <c r="HU74" s="1">
        <v>1581</v>
      </c>
      <c r="HV74" s="1">
        <v>13821</v>
      </c>
      <c r="HW74" s="1">
        <v>4949</v>
      </c>
      <c r="HX74">
        <v>0</v>
      </c>
      <c r="HY74" s="1">
        <v>4949</v>
      </c>
      <c r="HZ74" s="1">
        <v>18770</v>
      </c>
      <c r="IA74" s="1">
        <v>11748</v>
      </c>
      <c r="IB74" s="1">
        <v>46177</v>
      </c>
      <c r="IC74" s="1">
        <v>352766</v>
      </c>
      <c r="ID74" s="1">
        <v>352766</v>
      </c>
      <c r="IE74" s="1">
        <v>357715</v>
      </c>
      <c r="IF74" s="1">
        <v>149101</v>
      </c>
      <c r="IG74">
        <v>223</v>
      </c>
      <c r="IJ74">
        <v>3</v>
      </c>
      <c r="IK74" s="3">
        <v>4.2999999999999997E-2</v>
      </c>
      <c r="IL74" s="3">
        <v>5.9999999999999995E-4</v>
      </c>
      <c r="IM74" s="3">
        <v>0.14779999999999999</v>
      </c>
      <c r="IN74" s="3">
        <v>0</v>
      </c>
      <c r="IO74" s="3">
        <v>0.1338</v>
      </c>
      <c r="IP74" s="3">
        <v>2.0000000000000001E-4</v>
      </c>
      <c r="IQ74" s="3">
        <v>0.76739999999999997</v>
      </c>
      <c r="IR74" s="3">
        <v>2.9899999999999999E-2</v>
      </c>
      <c r="IS74" s="3">
        <v>0.42270000000000002</v>
      </c>
      <c r="IT74" s="1">
        <v>97684</v>
      </c>
      <c r="IU74" s="1">
        <v>30972</v>
      </c>
      <c r="IV74" s="1">
        <v>128656</v>
      </c>
      <c r="IW74" s="3">
        <v>0.51800000000000002</v>
      </c>
      <c r="IX74" s="1">
        <v>415423</v>
      </c>
      <c r="IZ74">
        <v>780</v>
      </c>
      <c r="JA74">
        <v>104</v>
      </c>
      <c r="JB74">
        <v>857</v>
      </c>
      <c r="JC74">
        <v>96</v>
      </c>
      <c r="JD74">
        <v>13</v>
      </c>
      <c r="JE74">
        <v>470</v>
      </c>
      <c r="JF74">
        <v>876</v>
      </c>
      <c r="JG74">
        <v>117</v>
      </c>
      <c r="JH74" s="1">
        <v>1327</v>
      </c>
      <c r="JI74" s="1">
        <v>2320</v>
      </c>
      <c r="JJ74" s="1">
        <v>1741</v>
      </c>
      <c r="JK74">
        <v>579</v>
      </c>
      <c r="JL74" s="1">
        <v>6475</v>
      </c>
      <c r="JM74">
        <v>878</v>
      </c>
      <c r="JN74" s="1">
        <v>19459</v>
      </c>
      <c r="JO74" s="1">
        <v>2249</v>
      </c>
      <c r="JP74" s="1">
        <v>1322</v>
      </c>
      <c r="JQ74" s="1">
        <v>26456</v>
      </c>
      <c r="JR74" s="1">
        <v>8724</v>
      </c>
      <c r="JS74" s="1">
        <v>2200</v>
      </c>
      <c r="JT74" s="1">
        <v>45915</v>
      </c>
      <c r="JU74" s="1">
        <v>56839</v>
      </c>
      <c r="JV74" s="1">
        <v>26812</v>
      </c>
      <c r="JW74" s="1">
        <v>30027</v>
      </c>
      <c r="JX74">
        <v>24.5</v>
      </c>
      <c r="JY74">
        <v>9.9600000000000009</v>
      </c>
      <c r="JZ74">
        <v>34.6</v>
      </c>
      <c r="KA74">
        <v>0.15</v>
      </c>
      <c r="KB74">
        <v>0.81</v>
      </c>
      <c r="KC74">
        <v>28</v>
      </c>
      <c r="KD74">
        <v>161</v>
      </c>
      <c r="KE74">
        <v>165</v>
      </c>
      <c r="KF74" s="1">
        <v>1153</v>
      </c>
      <c r="KM74" s="1">
        <v>82280</v>
      </c>
      <c r="KN74" s="1">
        <v>19006</v>
      </c>
      <c r="KO74" s="1">
        <v>9864</v>
      </c>
      <c r="KQ74" s="1">
        <v>2255</v>
      </c>
      <c r="KR74" s="1">
        <v>29397</v>
      </c>
      <c r="KS74">
        <v>151</v>
      </c>
      <c r="KT74">
        <v>39</v>
      </c>
      <c r="KU74">
        <v>76</v>
      </c>
      <c r="KV74">
        <v>133</v>
      </c>
      <c r="KW74" s="1">
        <v>66024</v>
      </c>
      <c r="KY74" s="1">
        <v>165598</v>
      </c>
      <c r="KZ74" s="1">
        <v>15441</v>
      </c>
      <c r="LC74" t="s">
        <v>1708</v>
      </c>
      <c r="LD74" t="s">
        <v>803</v>
      </c>
      <c r="LE74" t="s">
        <v>1709</v>
      </c>
      <c r="LF74" t="s">
        <v>1710</v>
      </c>
      <c r="LG74">
        <v>27209</v>
      </c>
      <c r="LH74">
        <v>9801</v>
      </c>
      <c r="LI74" t="s">
        <v>1711</v>
      </c>
      <c r="LJ74" t="s">
        <v>1710</v>
      </c>
      <c r="LK74">
        <v>27209</v>
      </c>
      <c r="LL74">
        <v>9801</v>
      </c>
      <c r="LM74" t="s">
        <v>1712</v>
      </c>
      <c r="LN74">
        <v>9104282551</v>
      </c>
      <c r="LO74">
        <v>9104282551</v>
      </c>
      <c r="LP74" s="1">
        <v>96193</v>
      </c>
      <c r="LQ74">
        <v>43.43</v>
      </c>
      <c r="LS74" s="1">
        <v>27523</v>
      </c>
      <c r="LT74">
        <v>850</v>
      </c>
      <c r="LW74">
        <v>4</v>
      </c>
      <c r="LX74" t="s">
        <v>1713</v>
      </c>
      <c r="LY74">
        <v>0</v>
      </c>
      <c r="LZ74" t="s">
        <v>738</v>
      </c>
      <c r="MA74">
        <v>5.33</v>
      </c>
      <c r="MB74">
        <v>5.3</v>
      </c>
    </row>
    <row r="75" spans="1:340" x14ac:dyDescent="0.25">
      <c r="A75" t="s">
        <v>1714</v>
      </c>
      <c r="B75">
        <v>0</v>
      </c>
      <c r="C75">
        <v>1375</v>
      </c>
      <c r="D75">
        <v>2017</v>
      </c>
      <c r="E75">
        <v>0</v>
      </c>
      <c r="F75" t="s">
        <v>1714</v>
      </c>
      <c r="G75" t="s">
        <v>1715</v>
      </c>
      <c r="H75" t="s">
        <v>668</v>
      </c>
      <c r="I75" t="s">
        <v>669</v>
      </c>
      <c r="J75" t="s">
        <v>670</v>
      </c>
      <c r="K75" t="s">
        <v>671</v>
      </c>
      <c r="L75" t="s">
        <v>672</v>
      </c>
      <c r="M75" t="s">
        <v>673</v>
      </c>
      <c r="N75" s="1">
        <v>35821</v>
      </c>
      <c r="P75">
        <v>131</v>
      </c>
      <c r="Q75">
        <v>25</v>
      </c>
      <c r="R75">
        <v>22</v>
      </c>
      <c r="S75">
        <v>22</v>
      </c>
      <c r="T75" s="1">
        <v>1760</v>
      </c>
      <c r="U75">
        <v>378</v>
      </c>
      <c r="V75" s="1">
        <v>4599</v>
      </c>
      <c r="W75">
        <v>909</v>
      </c>
      <c r="X75" s="1">
        <v>17640</v>
      </c>
      <c r="Y75" s="1">
        <v>3360</v>
      </c>
      <c r="Z75" t="s">
        <v>1716</v>
      </c>
      <c r="AA75" t="s">
        <v>1717</v>
      </c>
      <c r="AB75">
        <v>28352</v>
      </c>
      <c r="AC75">
        <v>3720</v>
      </c>
      <c r="AD75" t="s">
        <v>1718</v>
      </c>
      <c r="AE75" t="s">
        <v>1717</v>
      </c>
      <c r="AF75">
        <v>28352</v>
      </c>
      <c r="AG75">
        <v>1</v>
      </c>
      <c r="AH75" t="s">
        <v>1719</v>
      </c>
      <c r="AJ75" t="s">
        <v>35</v>
      </c>
      <c r="AK75" t="s">
        <v>1720</v>
      </c>
      <c r="AL75" t="s">
        <v>1721</v>
      </c>
      <c r="AM75" t="s">
        <v>1722</v>
      </c>
      <c r="AN75" t="s">
        <v>1723</v>
      </c>
      <c r="AO75" t="s">
        <v>1724</v>
      </c>
      <c r="AP75" t="s">
        <v>1721</v>
      </c>
      <c r="AQ75" t="s">
        <v>706</v>
      </c>
      <c r="AR75" t="s">
        <v>1722</v>
      </c>
      <c r="AS75" t="s">
        <v>1723</v>
      </c>
      <c r="AT75" t="s">
        <v>1724</v>
      </c>
      <c r="AU75" t="s">
        <v>1725</v>
      </c>
      <c r="BC75">
        <v>1</v>
      </c>
      <c r="BD75">
        <v>0</v>
      </c>
      <c r="BE75">
        <v>1</v>
      </c>
      <c r="BF75">
        <v>0</v>
      </c>
      <c r="BG75">
        <v>2</v>
      </c>
      <c r="BI75" s="1">
        <v>2782</v>
      </c>
      <c r="BJ75">
        <v>1</v>
      </c>
      <c r="BK75">
        <v>0</v>
      </c>
      <c r="BL75">
        <v>1</v>
      </c>
      <c r="BM75">
        <v>5.3</v>
      </c>
      <c r="BN75">
        <v>6.3</v>
      </c>
      <c r="BO75" s="3">
        <v>0.15870000000000001</v>
      </c>
      <c r="BP75">
        <v>523</v>
      </c>
      <c r="BQ75" s="4">
        <v>57972</v>
      </c>
      <c r="BT75">
        <v>0</v>
      </c>
      <c r="BU75" s="4">
        <v>0</v>
      </c>
      <c r="BV75" s="4">
        <v>0</v>
      </c>
      <c r="BW75" s="4">
        <v>0</v>
      </c>
      <c r="BY75" s="4">
        <v>0</v>
      </c>
      <c r="BZ75" s="4">
        <v>0</v>
      </c>
      <c r="CA75" s="4">
        <v>0</v>
      </c>
      <c r="CC75" s="4">
        <v>0</v>
      </c>
      <c r="CD75" s="4">
        <v>0</v>
      </c>
      <c r="CE75">
        <v>0</v>
      </c>
      <c r="CG75" s="4">
        <v>0</v>
      </c>
      <c r="CH75" s="4">
        <v>0</v>
      </c>
      <c r="CI75" s="4">
        <v>0</v>
      </c>
      <c r="CK75" s="4">
        <v>0</v>
      </c>
      <c r="CL75" s="4">
        <v>0</v>
      </c>
      <c r="CM75">
        <v>0</v>
      </c>
      <c r="CO75" s="4">
        <v>0</v>
      </c>
      <c r="CP75" s="4">
        <v>0</v>
      </c>
      <c r="CQ75" s="4">
        <v>0</v>
      </c>
      <c r="CR75" s="4">
        <v>37968</v>
      </c>
      <c r="CS75" s="4">
        <v>55032</v>
      </c>
      <c r="CT75" s="4">
        <v>46296</v>
      </c>
      <c r="CV75" s="4">
        <v>0</v>
      </c>
      <c r="CW75" s="4">
        <v>0</v>
      </c>
      <c r="CX75" s="4">
        <v>0</v>
      </c>
      <c r="CZ75" s="4">
        <v>0</v>
      </c>
      <c r="DA75" s="4">
        <v>0</v>
      </c>
      <c r="DB75" s="4">
        <v>0</v>
      </c>
      <c r="DD75" s="4">
        <v>0</v>
      </c>
      <c r="DE75" s="4">
        <v>0</v>
      </c>
      <c r="DF75" s="4">
        <v>0</v>
      </c>
      <c r="DH75" s="4">
        <v>0</v>
      </c>
      <c r="DI75" s="4">
        <v>0</v>
      </c>
      <c r="DJ75" s="4">
        <v>0</v>
      </c>
      <c r="DK75" s="4">
        <v>24216</v>
      </c>
      <c r="DL75" s="4">
        <v>35100</v>
      </c>
      <c r="DM75" s="4">
        <v>29532</v>
      </c>
      <c r="DO75" s="4">
        <v>22140</v>
      </c>
      <c r="DP75" s="4">
        <v>32076</v>
      </c>
      <c r="DQ75" s="4">
        <v>26988</v>
      </c>
      <c r="DS75" s="4">
        <v>0</v>
      </c>
      <c r="DT75" s="4">
        <v>0</v>
      </c>
      <c r="DU75" s="4">
        <v>0</v>
      </c>
      <c r="DV75" s="4">
        <v>0</v>
      </c>
      <c r="DW75" s="4">
        <v>366507</v>
      </c>
      <c r="DX75" s="4">
        <v>366507</v>
      </c>
      <c r="DY75" s="4">
        <v>102867</v>
      </c>
      <c r="DZ75" s="4">
        <v>0</v>
      </c>
      <c r="EA75" s="4">
        <v>102867</v>
      </c>
      <c r="EB75" s="4">
        <v>19679</v>
      </c>
      <c r="EC75" s="4">
        <v>0</v>
      </c>
      <c r="ED75" s="4">
        <v>19679</v>
      </c>
      <c r="EE75" s="4">
        <v>8804</v>
      </c>
      <c r="EF75" s="4">
        <v>497857</v>
      </c>
      <c r="EG75" s="4">
        <v>197857</v>
      </c>
      <c r="EH75" s="4">
        <v>85741</v>
      </c>
      <c r="EI75" s="4">
        <v>283598</v>
      </c>
      <c r="EJ75" s="4">
        <v>55340</v>
      </c>
      <c r="EK75" s="4">
        <v>16735</v>
      </c>
      <c r="EL75" s="4">
        <v>15047</v>
      </c>
      <c r="EM75" s="4">
        <v>87122</v>
      </c>
      <c r="EN75" s="4">
        <v>112337</v>
      </c>
      <c r="EO75" s="4">
        <v>483057</v>
      </c>
      <c r="EP75" s="4">
        <v>14800</v>
      </c>
      <c r="EQ75" s="3">
        <v>2.9700000000000001E-2</v>
      </c>
      <c r="ER75" s="4">
        <v>15000</v>
      </c>
      <c r="ES75" s="4">
        <v>0</v>
      </c>
      <c r="ET75" s="4">
        <v>0</v>
      </c>
      <c r="EU75" s="4">
        <v>0</v>
      </c>
      <c r="EV75" s="4">
        <v>15000</v>
      </c>
      <c r="EW75" s="4">
        <v>15000</v>
      </c>
      <c r="EX75" s="1">
        <v>10092</v>
      </c>
      <c r="EY75" s="1">
        <v>133331</v>
      </c>
      <c r="EZ75" s="1">
        <v>15433</v>
      </c>
      <c r="FA75" s="1">
        <v>2542</v>
      </c>
      <c r="FB75" s="1">
        <v>8389</v>
      </c>
      <c r="FC75" s="1">
        <v>10663</v>
      </c>
      <c r="FD75">
        <v>176</v>
      </c>
      <c r="FE75" s="1">
        <v>4531</v>
      </c>
      <c r="FF75" s="1">
        <v>26096</v>
      </c>
      <c r="FG75" s="1">
        <v>2718</v>
      </c>
      <c r="FH75" s="1">
        <v>12920</v>
      </c>
      <c r="FI75" s="1">
        <v>41734</v>
      </c>
      <c r="FJ75">
        <v>42</v>
      </c>
      <c r="FK75">
        <v>33</v>
      </c>
      <c r="FM75" s="1">
        <v>41734</v>
      </c>
      <c r="FN75" s="1">
        <v>2029</v>
      </c>
      <c r="FO75" s="1">
        <v>2811</v>
      </c>
      <c r="FP75">
        <v>0</v>
      </c>
      <c r="FQ75">
        <v>6</v>
      </c>
      <c r="FR75">
        <v>88</v>
      </c>
      <c r="FS75">
        <v>94</v>
      </c>
      <c r="FT75" s="1">
        <v>44141</v>
      </c>
      <c r="FU75" s="1">
        <v>3505</v>
      </c>
      <c r="FV75">
        <v>0</v>
      </c>
      <c r="FW75">
        <v>0</v>
      </c>
      <c r="FX75" s="1">
        <v>8544</v>
      </c>
      <c r="FY75" s="1">
        <v>1573</v>
      </c>
      <c r="FZ75">
        <v>322</v>
      </c>
      <c r="GA75">
        <v>0</v>
      </c>
      <c r="GB75" s="1">
        <v>26436</v>
      </c>
      <c r="GC75" s="1">
        <v>1747</v>
      </c>
      <c r="GD75">
        <v>278</v>
      </c>
      <c r="GE75">
        <v>42</v>
      </c>
      <c r="GJ75">
        <v>0</v>
      </c>
      <c r="GK75">
        <v>0</v>
      </c>
      <c r="GL75">
        <v>0</v>
      </c>
      <c r="GM75">
        <v>0</v>
      </c>
      <c r="GN75" s="1">
        <v>79121</v>
      </c>
      <c r="GO75" s="1">
        <v>6825</v>
      </c>
      <c r="GP75">
        <v>600</v>
      </c>
      <c r="GQ75">
        <v>42</v>
      </c>
      <c r="GR75">
        <v>39</v>
      </c>
      <c r="GT75" s="1">
        <v>19608</v>
      </c>
      <c r="GU75" s="1">
        <v>2708</v>
      </c>
      <c r="GV75" s="1">
        <v>12601</v>
      </c>
      <c r="GW75" s="1">
        <v>3665</v>
      </c>
      <c r="GX75">
        <v>171</v>
      </c>
      <c r="GY75" s="1">
        <v>2007</v>
      </c>
      <c r="GZ75" s="1">
        <v>23273</v>
      </c>
      <c r="HA75" s="1">
        <v>2879</v>
      </c>
      <c r="HB75" s="1">
        <v>14608</v>
      </c>
      <c r="HC75" s="1">
        <v>40760</v>
      </c>
      <c r="HD75">
        <v>0</v>
      </c>
      <c r="HE75" s="1">
        <v>40790</v>
      </c>
      <c r="HF75" s="1">
        <v>2243</v>
      </c>
      <c r="HG75" s="1">
        <v>14312</v>
      </c>
      <c r="HH75">
        <v>30</v>
      </c>
      <c r="HI75">
        <v>0</v>
      </c>
      <c r="HJ75" s="1">
        <v>16555</v>
      </c>
      <c r="HK75" s="1">
        <v>57345</v>
      </c>
      <c r="HL75">
        <v>2</v>
      </c>
      <c r="HM75" s="1">
        <v>1854</v>
      </c>
      <c r="HN75" s="1">
        <v>1856</v>
      </c>
      <c r="HO75">
        <v>7</v>
      </c>
      <c r="HP75">
        <v>212</v>
      </c>
      <c r="HQ75">
        <v>219</v>
      </c>
      <c r="HR75">
        <v>0</v>
      </c>
      <c r="HS75">
        <v>8</v>
      </c>
      <c r="HT75">
        <v>8</v>
      </c>
      <c r="HU75">
        <v>19</v>
      </c>
      <c r="HV75" s="1">
        <v>2102</v>
      </c>
      <c r="HW75">
        <v>181</v>
      </c>
      <c r="HX75" s="1">
        <v>3744</v>
      </c>
      <c r="HY75" s="1">
        <v>3925</v>
      </c>
      <c r="HZ75" s="1">
        <v>6027</v>
      </c>
      <c r="IA75" s="1">
        <v>2462</v>
      </c>
      <c r="IB75" s="1">
        <v>16782</v>
      </c>
      <c r="IC75" s="1">
        <v>59447</v>
      </c>
      <c r="ID75" s="1">
        <v>59447</v>
      </c>
      <c r="IE75" s="1">
        <v>63372</v>
      </c>
      <c r="IF75" s="1">
        <v>17487</v>
      </c>
      <c r="IG75">
        <v>0</v>
      </c>
      <c r="IK75" s="3">
        <v>2.5600000000000001E-2</v>
      </c>
      <c r="IL75" s="3">
        <v>2.0000000000000001E-4</v>
      </c>
      <c r="IM75" s="3">
        <v>0.64939999999999998</v>
      </c>
      <c r="IN75" s="3">
        <v>0</v>
      </c>
      <c r="IO75" s="3">
        <v>0.59340000000000004</v>
      </c>
      <c r="IP75" s="3">
        <v>6.9999999999999999E-4</v>
      </c>
      <c r="IQ75" s="3">
        <v>0.313</v>
      </c>
      <c r="IR75" s="3">
        <v>6.6400000000000001E-2</v>
      </c>
      <c r="IS75" s="3">
        <v>0.29420000000000002</v>
      </c>
      <c r="IT75" s="1">
        <v>7782</v>
      </c>
      <c r="IU75" s="1">
        <v>1801</v>
      </c>
      <c r="IV75" s="1">
        <v>9583</v>
      </c>
      <c r="IW75" s="3">
        <v>0.26750000000000002</v>
      </c>
      <c r="IX75" s="1">
        <v>72579</v>
      </c>
      <c r="IZ75">
        <v>27</v>
      </c>
      <c r="JA75">
        <v>12</v>
      </c>
      <c r="JB75">
        <v>102</v>
      </c>
      <c r="JC75">
        <v>3</v>
      </c>
      <c r="JD75">
        <v>3</v>
      </c>
      <c r="JE75">
        <v>3</v>
      </c>
      <c r="JF75">
        <v>30</v>
      </c>
      <c r="JG75">
        <v>15</v>
      </c>
      <c r="JH75">
        <v>105</v>
      </c>
      <c r="JI75">
        <v>150</v>
      </c>
      <c r="JJ75">
        <v>141</v>
      </c>
      <c r="JK75">
        <v>9</v>
      </c>
      <c r="JL75" s="1">
        <v>1626</v>
      </c>
      <c r="JM75">
        <v>357</v>
      </c>
      <c r="JN75" s="1">
        <v>2831</v>
      </c>
      <c r="JO75">
        <v>108</v>
      </c>
      <c r="JP75">
        <v>31</v>
      </c>
      <c r="JQ75">
        <v>131</v>
      </c>
      <c r="JR75" s="1">
        <v>1734</v>
      </c>
      <c r="JS75">
        <v>388</v>
      </c>
      <c r="JT75" s="1">
        <v>2962</v>
      </c>
      <c r="JU75" s="1">
        <v>5084</v>
      </c>
      <c r="JV75" s="1">
        <v>4814</v>
      </c>
      <c r="JW75">
        <v>270</v>
      </c>
      <c r="JX75">
        <v>33.89</v>
      </c>
      <c r="JY75">
        <v>57.8</v>
      </c>
      <c r="JZ75">
        <v>28.21</v>
      </c>
      <c r="KA75">
        <v>0.34</v>
      </c>
      <c r="KB75">
        <v>0.57999999999999996</v>
      </c>
      <c r="KC75">
        <v>0</v>
      </c>
      <c r="KD75">
        <v>0</v>
      </c>
      <c r="KE75">
        <v>0</v>
      </c>
      <c r="KF75">
        <v>0</v>
      </c>
      <c r="KG75">
        <v>70</v>
      </c>
      <c r="KH75">
        <v>975</v>
      </c>
      <c r="KI75">
        <v>1</v>
      </c>
      <c r="KJ75">
        <v>22</v>
      </c>
      <c r="KK75">
        <v>4</v>
      </c>
      <c r="KL75">
        <v>140</v>
      </c>
      <c r="KM75" s="1">
        <v>5753</v>
      </c>
      <c r="KN75" s="1">
        <v>4748</v>
      </c>
      <c r="KO75">
        <v>229</v>
      </c>
      <c r="KQ75">
        <v>189</v>
      </c>
      <c r="KR75" s="1">
        <v>2268</v>
      </c>
      <c r="KS75" s="1">
        <v>3218</v>
      </c>
      <c r="KT75">
        <v>678</v>
      </c>
      <c r="KU75">
        <v>9</v>
      </c>
      <c r="KV75">
        <v>14</v>
      </c>
      <c r="KW75" s="1">
        <v>14831</v>
      </c>
      <c r="KZ75" s="1">
        <v>2388</v>
      </c>
      <c r="LC75" t="s">
        <v>1719</v>
      </c>
      <c r="LD75" t="s">
        <v>709</v>
      </c>
      <c r="LE75" t="s">
        <v>1718</v>
      </c>
      <c r="LF75" t="s">
        <v>1717</v>
      </c>
      <c r="LG75">
        <v>28352</v>
      </c>
      <c r="LH75">
        <v>3720</v>
      </c>
      <c r="LI75" t="s">
        <v>1718</v>
      </c>
      <c r="LJ75" t="s">
        <v>1717</v>
      </c>
      <c r="LK75">
        <v>28352</v>
      </c>
      <c r="LL75">
        <v>3720</v>
      </c>
      <c r="LM75" t="s">
        <v>1720</v>
      </c>
      <c r="LN75">
        <v>9102760563</v>
      </c>
      <c r="LO75">
        <v>9102764032</v>
      </c>
      <c r="LP75" s="1">
        <v>8400</v>
      </c>
      <c r="LQ75">
        <v>6.3</v>
      </c>
      <c r="LS75" s="1">
        <v>2782</v>
      </c>
      <c r="LT75">
        <v>90</v>
      </c>
      <c r="LW75">
        <v>2</v>
      </c>
      <c r="LX75" t="s">
        <v>1726</v>
      </c>
      <c r="LY75">
        <v>0</v>
      </c>
      <c r="LZ75" t="s">
        <v>691</v>
      </c>
      <c r="MA75">
        <v>51.93</v>
      </c>
      <c r="MB75">
        <v>57.06</v>
      </c>
    </row>
    <row r="76" spans="1:340" x14ac:dyDescent="0.25">
      <c r="A76" t="s">
        <v>1727</v>
      </c>
      <c r="B76">
        <v>0</v>
      </c>
      <c r="C76">
        <v>1375</v>
      </c>
      <c r="D76">
        <v>2017</v>
      </c>
      <c r="E76">
        <v>0</v>
      </c>
      <c r="F76" t="s">
        <v>1727</v>
      </c>
      <c r="G76" t="s">
        <v>1728</v>
      </c>
      <c r="H76" t="s">
        <v>668</v>
      </c>
      <c r="I76" t="s">
        <v>669</v>
      </c>
      <c r="J76" t="s">
        <v>670</v>
      </c>
      <c r="K76" t="s">
        <v>671</v>
      </c>
      <c r="L76" t="s">
        <v>791</v>
      </c>
      <c r="M76" t="s">
        <v>673</v>
      </c>
      <c r="N76" s="1">
        <v>177220</v>
      </c>
      <c r="O76" t="s">
        <v>674</v>
      </c>
      <c r="P76">
        <v>977</v>
      </c>
      <c r="R76">
        <v>165</v>
      </c>
      <c r="S76">
        <v>0</v>
      </c>
      <c r="T76" s="1">
        <v>5372</v>
      </c>
      <c r="U76">
        <v>0</v>
      </c>
      <c r="V76" s="1">
        <v>67082</v>
      </c>
      <c r="W76" s="1">
        <v>5556</v>
      </c>
      <c r="X76" s="1">
        <v>948360</v>
      </c>
      <c r="Z76" t="s">
        <v>1729</v>
      </c>
      <c r="AA76" t="s">
        <v>1730</v>
      </c>
      <c r="AB76">
        <v>27858</v>
      </c>
      <c r="AC76">
        <v>2308</v>
      </c>
      <c r="AD76" t="s">
        <v>1729</v>
      </c>
      <c r="AE76" t="s">
        <v>1730</v>
      </c>
      <c r="AF76">
        <v>27858</v>
      </c>
      <c r="AG76">
        <v>2</v>
      </c>
      <c r="AH76" t="s">
        <v>1731</v>
      </c>
      <c r="AJ76" t="s">
        <v>35</v>
      </c>
      <c r="AK76" t="s">
        <v>1105</v>
      </c>
      <c r="AL76" t="s">
        <v>1732</v>
      </c>
      <c r="AM76" t="s">
        <v>1733</v>
      </c>
      <c r="AN76" t="s">
        <v>1734</v>
      </c>
      <c r="AO76" t="s">
        <v>1735</v>
      </c>
      <c r="AP76" t="s">
        <v>1736</v>
      </c>
      <c r="AQ76" t="s">
        <v>1737</v>
      </c>
      <c r="AR76" t="s">
        <v>1738</v>
      </c>
      <c r="AS76" t="s">
        <v>1734</v>
      </c>
      <c r="AT76" t="s">
        <v>1739</v>
      </c>
      <c r="AU76" t="s">
        <v>1740</v>
      </c>
      <c r="BC76">
        <v>1</v>
      </c>
      <c r="BD76">
        <v>4</v>
      </c>
      <c r="BE76">
        <v>1</v>
      </c>
      <c r="BG76">
        <v>6</v>
      </c>
      <c r="BI76" s="1">
        <v>14478</v>
      </c>
      <c r="BJ76">
        <v>1</v>
      </c>
      <c r="BK76">
        <v>4</v>
      </c>
      <c r="BL76">
        <v>5</v>
      </c>
      <c r="BM76">
        <v>30.81</v>
      </c>
      <c r="BN76">
        <v>35.81</v>
      </c>
      <c r="BO76" s="3">
        <v>2.7900000000000001E-2</v>
      </c>
      <c r="BP76" s="1">
        <v>2784</v>
      </c>
      <c r="BQ76" s="4">
        <v>105768</v>
      </c>
      <c r="BU76" s="4">
        <v>27414</v>
      </c>
      <c r="BV76" s="4">
        <v>70117</v>
      </c>
      <c r="BW76" s="4">
        <v>39573</v>
      </c>
      <c r="BY76" s="4">
        <v>40435</v>
      </c>
      <c r="BZ76" s="4">
        <v>70117</v>
      </c>
      <c r="CA76" s="4">
        <v>63378</v>
      </c>
      <c r="CC76" s="4">
        <v>40435</v>
      </c>
      <c r="CD76" s="4">
        <v>81806</v>
      </c>
      <c r="CE76" s="1">
        <v>75816</v>
      </c>
      <c r="CG76" s="4">
        <v>40435</v>
      </c>
      <c r="CH76" s="4">
        <v>81806</v>
      </c>
      <c r="CI76" s="4">
        <v>75816</v>
      </c>
      <c r="CR76" s="4">
        <v>37794</v>
      </c>
      <c r="CS76" s="4">
        <v>56701</v>
      </c>
      <c r="CT76" s="4">
        <v>42286</v>
      </c>
      <c r="DD76" s="4">
        <v>27414</v>
      </c>
      <c r="DE76" s="4">
        <v>56701</v>
      </c>
      <c r="DF76" s="4">
        <v>28766</v>
      </c>
      <c r="DH76" s="4">
        <v>27414</v>
      </c>
      <c r="DI76" s="4">
        <v>56701</v>
      </c>
      <c r="DJ76" s="4">
        <v>38535</v>
      </c>
      <c r="DK76" s="4">
        <v>27414</v>
      </c>
      <c r="DL76" s="4">
        <v>41142</v>
      </c>
      <c r="DM76" s="4">
        <v>34278</v>
      </c>
      <c r="DO76" s="4">
        <v>27414</v>
      </c>
      <c r="DP76" s="4">
        <v>41142</v>
      </c>
      <c r="DQ76" s="4">
        <v>34278</v>
      </c>
      <c r="DS76" s="4">
        <v>40435</v>
      </c>
      <c r="DT76" s="4">
        <v>70117</v>
      </c>
      <c r="DU76" s="4">
        <v>51792</v>
      </c>
      <c r="DV76" s="4">
        <v>1383466</v>
      </c>
      <c r="DW76" s="4">
        <v>593096</v>
      </c>
      <c r="DX76" s="4">
        <v>1976562</v>
      </c>
      <c r="DY76" s="4">
        <v>190187</v>
      </c>
      <c r="DZ76" s="4">
        <v>0</v>
      </c>
      <c r="EA76" s="4">
        <v>190187</v>
      </c>
      <c r="EB76" s="4">
        <v>0</v>
      </c>
      <c r="EC76" s="4">
        <v>0</v>
      </c>
      <c r="ED76" s="4">
        <v>0</v>
      </c>
      <c r="EE76" s="4">
        <v>168342</v>
      </c>
      <c r="EF76" s="4">
        <v>2335091</v>
      </c>
      <c r="EG76" s="4">
        <v>1112121</v>
      </c>
      <c r="EH76" s="4">
        <v>352385</v>
      </c>
      <c r="EI76" s="4">
        <v>1464506</v>
      </c>
      <c r="EJ76" s="4">
        <v>207112</v>
      </c>
      <c r="EK76" s="4">
        <v>62442</v>
      </c>
      <c r="EL76" s="4">
        <v>23147</v>
      </c>
      <c r="EM76" s="4">
        <v>292701</v>
      </c>
      <c r="EN76" s="4">
        <v>500927</v>
      </c>
      <c r="EO76" s="4">
        <v>2258134</v>
      </c>
      <c r="EP76" s="4">
        <v>76957</v>
      </c>
      <c r="EQ76" s="3">
        <v>3.3000000000000002E-2</v>
      </c>
      <c r="ER76" s="4">
        <v>100000</v>
      </c>
      <c r="ES76" s="4">
        <v>0</v>
      </c>
      <c r="ET76" s="4">
        <v>0</v>
      </c>
      <c r="EU76" s="4">
        <v>81458</v>
      </c>
      <c r="EV76" s="4">
        <v>181458</v>
      </c>
      <c r="EW76" s="4">
        <v>39653</v>
      </c>
      <c r="EX76" s="1">
        <v>24312</v>
      </c>
      <c r="EY76" s="1">
        <v>319201</v>
      </c>
      <c r="EZ76" s="1">
        <v>62938</v>
      </c>
      <c r="FA76" s="1">
        <v>7546</v>
      </c>
      <c r="FB76" s="1">
        <v>45478</v>
      </c>
      <c r="FC76" s="1">
        <v>61003</v>
      </c>
      <c r="FD76" s="1">
        <v>2849</v>
      </c>
      <c r="FE76" s="1">
        <v>25432</v>
      </c>
      <c r="FF76" s="1">
        <v>123941</v>
      </c>
      <c r="FG76" s="1">
        <v>10395</v>
      </c>
      <c r="FH76" s="1">
        <v>70910</v>
      </c>
      <c r="FI76" s="1">
        <v>205246</v>
      </c>
      <c r="FJ76" s="1">
        <v>31265</v>
      </c>
      <c r="FK76">
        <v>194</v>
      </c>
      <c r="FM76" s="1">
        <v>205246</v>
      </c>
      <c r="FN76" s="1">
        <v>9379</v>
      </c>
      <c r="FO76" s="1">
        <v>10915</v>
      </c>
      <c r="FP76">
        <v>964</v>
      </c>
      <c r="FQ76">
        <v>13</v>
      </c>
      <c r="FR76">
        <v>88</v>
      </c>
      <c r="FS76">
        <v>101</v>
      </c>
      <c r="FT76" s="1">
        <v>44141</v>
      </c>
      <c r="FU76" s="1">
        <v>3505</v>
      </c>
      <c r="FV76">
        <v>0</v>
      </c>
      <c r="FW76">
        <v>0</v>
      </c>
      <c r="FX76" s="1">
        <v>8544</v>
      </c>
      <c r="FY76" s="1">
        <v>1573</v>
      </c>
      <c r="FZ76">
        <v>322</v>
      </c>
      <c r="GA76">
        <v>0</v>
      </c>
      <c r="GJ76" s="1">
        <v>2539</v>
      </c>
      <c r="GK76">
        <v>513</v>
      </c>
      <c r="GL76">
        <v>0</v>
      </c>
      <c r="GN76" s="1">
        <v>55224</v>
      </c>
      <c r="GO76" s="1">
        <v>5591</v>
      </c>
      <c r="GP76">
        <v>322</v>
      </c>
      <c r="GQ76">
        <v>0</v>
      </c>
      <c r="GR76">
        <v>30</v>
      </c>
      <c r="GT76" s="1">
        <v>120252</v>
      </c>
      <c r="GU76" s="1">
        <v>18005</v>
      </c>
      <c r="GV76" s="1">
        <v>185991</v>
      </c>
      <c r="GW76" s="1">
        <v>51340</v>
      </c>
      <c r="GX76" s="1">
        <v>1808</v>
      </c>
      <c r="GY76" s="1">
        <v>40238</v>
      </c>
      <c r="GZ76" s="1">
        <v>171592</v>
      </c>
      <c r="HA76" s="1">
        <v>19813</v>
      </c>
      <c r="HB76" s="1">
        <v>226229</v>
      </c>
      <c r="HC76" s="1">
        <v>417634</v>
      </c>
      <c r="HD76" s="1">
        <v>1505</v>
      </c>
      <c r="HE76" s="1">
        <v>419139</v>
      </c>
      <c r="HF76" s="1">
        <v>24200</v>
      </c>
      <c r="HG76" s="1">
        <v>17480</v>
      </c>
      <c r="HH76">
        <v>0</v>
      </c>
      <c r="HI76">
        <v>0</v>
      </c>
      <c r="HJ76" s="1">
        <v>41680</v>
      </c>
      <c r="HK76" s="1">
        <v>460819</v>
      </c>
      <c r="HL76">
        <v>684</v>
      </c>
      <c r="HM76" s="1">
        <v>7554</v>
      </c>
      <c r="HN76" s="1">
        <v>8238</v>
      </c>
      <c r="HO76" s="1">
        <v>1728</v>
      </c>
      <c r="HP76" s="1">
        <v>7177</v>
      </c>
      <c r="HQ76" s="1">
        <v>8905</v>
      </c>
      <c r="HR76">
        <v>0</v>
      </c>
      <c r="HS76">
        <v>0</v>
      </c>
      <c r="HT76">
        <v>0</v>
      </c>
      <c r="HU76" s="1">
        <v>2065</v>
      </c>
      <c r="HV76" s="1">
        <v>19208</v>
      </c>
      <c r="HW76" s="1">
        <v>7994</v>
      </c>
      <c r="HX76" s="1">
        <v>547878</v>
      </c>
      <c r="HY76" s="1">
        <v>555872</v>
      </c>
      <c r="HZ76" s="1">
        <v>575080</v>
      </c>
      <c r="IA76" s="1">
        <v>33105</v>
      </c>
      <c r="IB76" s="1">
        <v>50585</v>
      </c>
      <c r="IC76" s="1">
        <v>480027</v>
      </c>
      <c r="ID76" s="1">
        <v>480027</v>
      </c>
      <c r="IE76" s="1">
        <v>1035899</v>
      </c>
      <c r="IF76" s="1">
        <v>254682</v>
      </c>
      <c r="IG76">
        <v>-1</v>
      </c>
      <c r="IK76" s="3">
        <v>3.5200000000000002E-2</v>
      </c>
      <c r="IL76" s="3">
        <v>5.9999999999999995E-4</v>
      </c>
      <c r="IM76" s="3">
        <v>0.1915</v>
      </c>
      <c r="IN76" s="3">
        <v>0</v>
      </c>
      <c r="IO76" s="3">
        <v>0.17299999999999999</v>
      </c>
      <c r="IP76" s="3">
        <v>2.9999999999999997E-4</v>
      </c>
      <c r="IQ76" s="3">
        <v>0.64300000000000002</v>
      </c>
      <c r="IR76" s="3">
        <v>4.6899999999999997E-2</v>
      </c>
      <c r="IS76" s="3">
        <v>0.53059999999999996</v>
      </c>
      <c r="IT76" s="1">
        <v>50948</v>
      </c>
      <c r="IU76" s="1">
        <v>12322</v>
      </c>
      <c r="IV76" s="1">
        <v>63270</v>
      </c>
      <c r="IW76" s="3">
        <v>0.35699999999999998</v>
      </c>
      <c r="IX76" s="1">
        <v>457726</v>
      </c>
      <c r="IZ76">
        <v>165</v>
      </c>
      <c r="JA76">
        <v>10</v>
      </c>
      <c r="JB76">
        <v>649</v>
      </c>
      <c r="JC76">
        <v>19</v>
      </c>
      <c r="JD76">
        <v>0</v>
      </c>
      <c r="JE76">
        <v>303</v>
      </c>
      <c r="JF76">
        <v>184</v>
      </c>
      <c r="JG76">
        <v>10</v>
      </c>
      <c r="JH76">
        <v>952</v>
      </c>
      <c r="JI76" s="1">
        <v>1146</v>
      </c>
      <c r="JJ76">
        <v>824</v>
      </c>
      <c r="JK76">
        <v>322</v>
      </c>
      <c r="JL76" s="1">
        <v>1014</v>
      </c>
      <c r="JM76">
        <v>100</v>
      </c>
      <c r="JN76" s="1">
        <v>19975</v>
      </c>
      <c r="JO76">
        <v>281</v>
      </c>
      <c r="JP76">
        <v>0</v>
      </c>
      <c r="JQ76" s="1">
        <v>8148</v>
      </c>
      <c r="JR76" s="1">
        <v>1295</v>
      </c>
      <c r="JS76">
        <v>100</v>
      </c>
      <c r="JT76" s="1">
        <v>28123</v>
      </c>
      <c r="JU76" s="1">
        <v>29518</v>
      </c>
      <c r="JV76" s="1">
        <v>21089</v>
      </c>
      <c r="JW76" s="1">
        <v>8429</v>
      </c>
      <c r="JX76">
        <v>25.76</v>
      </c>
      <c r="JY76">
        <v>7.04</v>
      </c>
      <c r="JZ76">
        <v>29.54</v>
      </c>
      <c r="KA76">
        <v>0.04</v>
      </c>
      <c r="KB76">
        <v>0.95</v>
      </c>
      <c r="KC76">
        <v>0</v>
      </c>
      <c r="KD76">
        <v>0</v>
      </c>
      <c r="KE76">
        <v>75</v>
      </c>
      <c r="KF76">
        <v>349</v>
      </c>
      <c r="KG76">
        <v>639</v>
      </c>
      <c r="KH76" s="1">
        <v>17500</v>
      </c>
      <c r="KI76">
        <v>0</v>
      </c>
      <c r="KJ76">
        <v>0</v>
      </c>
      <c r="KM76" s="1">
        <v>104998</v>
      </c>
      <c r="KN76" s="1">
        <v>17991</v>
      </c>
      <c r="KO76" s="1">
        <v>2708</v>
      </c>
      <c r="KQ76" s="1">
        <v>2939</v>
      </c>
      <c r="KR76" s="1">
        <v>16916</v>
      </c>
      <c r="KS76">
        <v>0</v>
      </c>
      <c r="KT76">
        <v>0</v>
      </c>
      <c r="KU76">
        <v>41</v>
      </c>
      <c r="KV76">
        <v>129</v>
      </c>
      <c r="KW76" s="1">
        <v>126910</v>
      </c>
      <c r="KY76" s="1">
        <v>295012</v>
      </c>
      <c r="LC76" t="s">
        <v>1731</v>
      </c>
      <c r="LD76" t="s">
        <v>689</v>
      </c>
      <c r="LE76" t="s">
        <v>1729</v>
      </c>
      <c r="LF76" t="s">
        <v>1730</v>
      </c>
      <c r="LG76">
        <v>27858</v>
      </c>
      <c r="LH76">
        <v>2308</v>
      </c>
      <c r="LI76" t="s">
        <v>1729</v>
      </c>
      <c r="LJ76" t="s">
        <v>1730</v>
      </c>
      <c r="LK76">
        <v>27858</v>
      </c>
      <c r="LL76">
        <v>2308</v>
      </c>
      <c r="LM76" t="s">
        <v>1105</v>
      </c>
      <c r="LN76">
        <v>2523294580</v>
      </c>
      <c r="LO76">
        <v>2523294255</v>
      </c>
      <c r="LP76" s="1">
        <v>83550</v>
      </c>
      <c r="LQ76">
        <v>35.81</v>
      </c>
      <c r="LS76" s="1">
        <v>14478</v>
      </c>
      <c r="LT76">
        <v>312</v>
      </c>
      <c r="LW76">
        <v>2</v>
      </c>
      <c r="LX76" t="s">
        <v>1741</v>
      </c>
      <c r="LY76">
        <v>0</v>
      </c>
      <c r="LZ76" t="s">
        <v>691</v>
      </c>
      <c r="MA76" s="2">
        <v>1000</v>
      </c>
      <c r="MB76" s="2">
        <v>1000</v>
      </c>
    </row>
    <row r="77" spans="1:340" x14ac:dyDescent="0.25">
      <c r="A77" t="s">
        <v>1742</v>
      </c>
      <c r="B77">
        <v>0</v>
      </c>
      <c r="C77">
        <v>1375</v>
      </c>
      <c r="D77">
        <v>2017</v>
      </c>
      <c r="E77">
        <v>0</v>
      </c>
      <c r="F77" t="s">
        <v>1742</v>
      </c>
      <c r="G77" t="s">
        <v>1743</v>
      </c>
      <c r="H77" t="s">
        <v>668</v>
      </c>
      <c r="I77" t="s">
        <v>899</v>
      </c>
      <c r="J77" t="s">
        <v>870</v>
      </c>
      <c r="K77" t="s">
        <v>671</v>
      </c>
      <c r="L77" t="s">
        <v>900</v>
      </c>
      <c r="M77" t="s">
        <v>673</v>
      </c>
      <c r="N77" s="1">
        <v>13461</v>
      </c>
      <c r="O77" t="s">
        <v>674</v>
      </c>
      <c r="P77">
        <v>390</v>
      </c>
      <c r="Q77">
        <v>42</v>
      </c>
      <c r="R77">
        <v>157</v>
      </c>
      <c r="S77">
        <v>4</v>
      </c>
      <c r="T77" s="1">
        <v>3759</v>
      </c>
      <c r="U77">
        <v>103</v>
      </c>
      <c r="V77" s="1">
        <v>13793</v>
      </c>
      <c r="W77" s="1">
        <v>1038</v>
      </c>
      <c r="X77" s="1">
        <v>138684</v>
      </c>
      <c r="Y77" s="1">
        <v>9372</v>
      </c>
      <c r="Z77" t="s">
        <v>1744</v>
      </c>
      <c r="AA77" t="s">
        <v>1745</v>
      </c>
      <c r="AB77">
        <v>28387</v>
      </c>
      <c r="AC77">
        <v>4819</v>
      </c>
      <c r="AD77" t="s">
        <v>1744</v>
      </c>
      <c r="AE77" t="s">
        <v>1745</v>
      </c>
      <c r="AF77">
        <v>28387</v>
      </c>
      <c r="AG77">
        <v>3</v>
      </c>
      <c r="AH77" t="s">
        <v>1746</v>
      </c>
      <c r="AJ77" t="s">
        <v>904</v>
      </c>
      <c r="AK77" t="s">
        <v>1747</v>
      </c>
      <c r="AL77" t="s">
        <v>1748</v>
      </c>
      <c r="AM77" t="s">
        <v>1749</v>
      </c>
      <c r="AN77" t="s">
        <v>1750</v>
      </c>
      <c r="AO77" t="s">
        <v>1751</v>
      </c>
      <c r="AP77" t="s">
        <v>1748</v>
      </c>
      <c r="AQ77" t="s">
        <v>1752</v>
      </c>
      <c r="AR77" t="s">
        <v>1749</v>
      </c>
      <c r="AS77" t="s">
        <v>1750</v>
      </c>
      <c r="AT77" t="s">
        <v>1751</v>
      </c>
      <c r="AU77" t="s">
        <v>1753</v>
      </c>
      <c r="BC77">
        <v>1</v>
      </c>
      <c r="BD77">
        <v>0</v>
      </c>
      <c r="BE77">
        <v>0</v>
      </c>
      <c r="BF77">
        <v>0</v>
      </c>
      <c r="BG77">
        <v>1</v>
      </c>
      <c r="BI77" s="1">
        <v>2756</v>
      </c>
      <c r="BJ77">
        <v>4</v>
      </c>
      <c r="BK77">
        <v>0</v>
      </c>
      <c r="BL77">
        <v>4</v>
      </c>
      <c r="BM77">
        <v>6.45</v>
      </c>
      <c r="BN77">
        <v>10.45</v>
      </c>
      <c r="BO77" s="3">
        <v>0.38279999999999997</v>
      </c>
      <c r="BP77">
        <v>547</v>
      </c>
      <c r="BQ77" s="4">
        <v>94560</v>
      </c>
      <c r="BT77" s="1">
        <v>53555</v>
      </c>
      <c r="DV77" s="4">
        <v>752549</v>
      </c>
      <c r="DW77" s="4">
        <v>0</v>
      </c>
      <c r="DX77" s="4">
        <v>752549</v>
      </c>
      <c r="DY77" s="4">
        <v>6290</v>
      </c>
      <c r="DZ77" s="4">
        <v>0</v>
      </c>
      <c r="EA77" s="4">
        <v>6290</v>
      </c>
      <c r="EB77" s="4">
        <v>0</v>
      </c>
      <c r="EC77" s="4">
        <v>0</v>
      </c>
      <c r="ED77" s="4">
        <v>0</v>
      </c>
      <c r="EE77" s="4">
        <v>42112</v>
      </c>
      <c r="EF77" s="4">
        <v>800951</v>
      </c>
      <c r="EG77" s="4">
        <v>455546</v>
      </c>
      <c r="EH77" s="4">
        <v>125409</v>
      </c>
      <c r="EI77" s="4">
        <v>580955</v>
      </c>
      <c r="EJ77" s="4">
        <v>72515</v>
      </c>
      <c r="EK77" s="4">
        <v>43456</v>
      </c>
      <c r="EL77" s="4">
        <v>10947</v>
      </c>
      <c r="EM77" s="4">
        <v>126918</v>
      </c>
      <c r="EN77" s="4">
        <v>93078</v>
      </c>
      <c r="EO77" s="4">
        <v>800951</v>
      </c>
      <c r="EP77" s="4">
        <v>0</v>
      </c>
      <c r="EQ77" s="3">
        <v>0</v>
      </c>
      <c r="ER77" s="4">
        <v>0</v>
      </c>
      <c r="ES77" s="4">
        <v>0</v>
      </c>
      <c r="ET77" s="4">
        <v>0</v>
      </c>
      <c r="EU77" s="4">
        <v>0</v>
      </c>
      <c r="EV77" s="4">
        <v>0</v>
      </c>
      <c r="EW77" s="4">
        <v>0</v>
      </c>
      <c r="EX77" s="1">
        <v>22627</v>
      </c>
      <c r="EY77" s="1">
        <v>183101</v>
      </c>
      <c r="EZ77" s="1">
        <v>22739</v>
      </c>
      <c r="FA77" s="1">
        <v>2694</v>
      </c>
      <c r="FB77" s="1">
        <v>12454</v>
      </c>
      <c r="FC77" s="1">
        <v>22138</v>
      </c>
      <c r="FD77">
        <v>397</v>
      </c>
      <c r="FE77" s="1">
        <v>7680</v>
      </c>
      <c r="FF77" s="1">
        <v>44877</v>
      </c>
      <c r="FG77" s="1">
        <v>3091</v>
      </c>
      <c r="FH77" s="1">
        <v>20134</v>
      </c>
      <c r="FI77" s="1">
        <v>68102</v>
      </c>
      <c r="FJ77">
        <v>221</v>
      </c>
      <c r="FK77">
        <v>115</v>
      </c>
      <c r="FM77" s="1">
        <v>68102</v>
      </c>
      <c r="FN77" s="1">
        <v>3624</v>
      </c>
      <c r="FO77" s="1">
        <v>1923</v>
      </c>
      <c r="FP77">
        <v>457</v>
      </c>
      <c r="FQ77">
        <v>20</v>
      </c>
      <c r="FR77">
        <v>88</v>
      </c>
      <c r="FS77">
        <v>108</v>
      </c>
      <c r="FT77" s="1">
        <v>44141</v>
      </c>
      <c r="FU77" s="1">
        <v>3505</v>
      </c>
      <c r="FV77">
        <v>0</v>
      </c>
      <c r="FW77">
        <v>0</v>
      </c>
      <c r="FX77" s="1">
        <v>8544</v>
      </c>
      <c r="FY77" s="1">
        <v>1573</v>
      </c>
      <c r="FZ77">
        <v>322</v>
      </c>
      <c r="GA77">
        <v>0</v>
      </c>
      <c r="GE77">
        <v>0</v>
      </c>
      <c r="GF77" s="1">
        <v>36593</v>
      </c>
      <c r="GG77" s="1">
        <v>13194</v>
      </c>
      <c r="GH77">
        <v>264</v>
      </c>
      <c r="GI77">
        <v>12</v>
      </c>
      <c r="GJ77">
        <v>267</v>
      </c>
      <c r="GK77">
        <v>117</v>
      </c>
      <c r="GL77">
        <v>0</v>
      </c>
      <c r="GM77">
        <v>19</v>
      </c>
      <c r="GN77" s="1">
        <v>89545</v>
      </c>
      <c r="GO77" s="1">
        <v>18389</v>
      </c>
      <c r="GP77">
        <v>586</v>
      </c>
      <c r="GQ77">
        <v>31</v>
      </c>
      <c r="GR77">
        <v>78</v>
      </c>
      <c r="GT77" s="1">
        <v>35857</v>
      </c>
      <c r="GU77" s="1">
        <v>2542</v>
      </c>
      <c r="GV77" s="1">
        <v>37799</v>
      </c>
      <c r="GW77" s="1">
        <v>10202</v>
      </c>
      <c r="GX77">
        <v>144</v>
      </c>
      <c r="GY77" s="1">
        <v>9661</v>
      </c>
      <c r="GZ77" s="1">
        <v>46059</v>
      </c>
      <c r="HA77" s="1">
        <v>2686</v>
      </c>
      <c r="HB77" s="1">
        <v>47460</v>
      </c>
      <c r="HC77" s="1">
        <v>96205</v>
      </c>
      <c r="HD77" s="1">
        <v>1164</v>
      </c>
      <c r="HE77" s="1">
        <v>97369</v>
      </c>
      <c r="HF77" s="1">
        <v>8273</v>
      </c>
      <c r="HG77" s="1">
        <v>4796</v>
      </c>
      <c r="HH77">
        <v>0</v>
      </c>
      <c r="HI77">
        <v>0</v>
      </c>
      <c r="HJ77" s="1">
        <v>13069</v>
      </c>
      <c r="HK77" s="1">
        <v>110438</v>
      </c>
      <c r="HL77">
        <v>101</v>
      </c>
      <c r="HM77" s="1">
        <v>11159</v>
      </c>
      <c r="HN77" s="1">
        <v>11260</v>
      </c>
      <c r="HO77">
        <v>137</v>
      </c>
      <c r="HP77" s="1">
        <v>6033</v>
      </c>
      <c r="HQ77" s="1">
        <v>6170</v>
      </c>
      <c r="HR77">
        <v>0</v>
      </c>
      <c r="HS77">
        <v>40</v>
      </c>
      <c r="HT77">
        <v>40</v>
      </c>
      <c r="HU77">
        <v>263</v>
      </c>
      <c r="HV77" s="1">
        <v>17733</v>
      </c>
      <c r="HW77" s="1">
        <v>2640</v>
      </c>
      <c r="HX77" s="1">
        <v>3868</v>
      </c>
      <c r="HY77" s="1">
        <v>6508</v>
      </c>
      <c r="HZ77" s="1">
        <v>24241</v>
      </c>
      <c r="IA77" s="1">
        <v>14443</v>
      </c>
      <c r="IB77" s="1">
        <v>19279</v>
      </c>
      <c r="IC77" s="1">
        <v>128171</v>
      </c>
      <c r="ID77" s="1">
        <v>128171</v>
      </c>
      <c r="IE77" s="1">
        <v>134679</v>
      </c>
      <c r="IF77" s="1">
        <v>52958</v>
      </c>
      <c r="IG77">
        <v>82</v>
      </c>
      <c r="IJ77">
        <v>1</v>
      </c>
      <c r="IK77" s="3">
        <v>1.37E-2</v>
      </c>
      <c r="IL77" s="3">
        <v>5.9999999999999995E-4</v>
      </c>
      <c r="IM77" s="3">
        <v>0.59279999999999999</v>
      </c>
      <c r="IN77" s="3">
        <v>0</v>
      </c>
      <c r="IO77" s="3">
        <v>0.48899999999999999</v>
      </c>
      <c r="IP77" s="3">
        <v>5.9999999999999995E-4</v>
      </c>
      <c r="IQ77" s="3">
        <v>0.37190000000000001</v>
      </c>
      <c r="IR77" s="3">
        <v>0.1202</v>
      </c>
      <c r="IS77" s="3">
        <v>0.41320000000000001</v>
      </c>
      <c r="IT77" s="1">
        <v>6137</v>
      </c>
      <c r="IU77" s="1">
        <v>1393</v>
      </c>
      <c r="IV77" s="1">
        <v>7530</v>
      </c>
      <c r="IW77" s="3">
        <v>0.55940000000000001</v>
      </c>
      <c r="IX77" s="1">
        <v>86804</v>
      </c>
      <c r="IZ77">
        <v>51</v>
      </c>
      <c r="JA77">
        <v>8</v>
      </c>
      <c r="JB77">
        <v>242</v>
      </c>
      <c r="JC77">
        <v>16</v>
      </c>
      <c r="JD77">
        <v>1</v>
      </c>
      <c r="JE77">
        <v>370</v>
      </c>
      <c r="JF77">
        <v>67</v>
      </c>
      <c r="JG77">
        <v>9</v>
      </c>
      <c r="JH77">
        <v>612</v>
      </c>
      <c r="JI77">
        <v>688</v>
      </c>
      <c r="JJ77">
        <v>301</v>
      </c>
      <c r="JK77">
        <v>387</v>
      </c>
      <c r="JL77" s="1">
        <v>1294</v>
      </c>
      <c r="JM77">
        <v>80</v>
      </c>
      <c r="JN77" s="1">
        <v>6683</v>
      </c>
      <c r="JO77">
        <v>226</v>
      </c>
      <c r="JP77">
        <v>8</v>
      </c>
      <c r="JQ77" s="1">
        <v>7544</v>
      </c>
      <c r="JR77" s="1">
        <v>1520</v>
      </c>
      <c r="JS77">
        <v>88</v>
      </c>
      <c r="JT77" s="1">
        <v>14227</v>
      </c>
      <c r="JU77" s="1">
        <v>15835</v>
      </c>
      <c r="JV77" s="1">
        <v>8057</v>
      </c>
      <c r="JW77" s="1">
        <v>7778</v>
      </c>
      <c r="JX77">
        <v>23.02</v>
      </c>
      <c r="JY77">
        <v>22.69</v>
      </c>
      <c r="JZ77">
        <v>23.25</v>
      </c>
      <c r="KA77">
        <v>0.1</v>
      </c>
      <c r="KB77">
        <v>0.9</v>
      </c>
      <c r="KC77">
        <v>1</v>
      </c>
      <c r="KD77">
        <v>20</v>
      </c>
      <c r="KE77">
        <v>8</v>
      </c>
      <c r="KF77">
        <v>183</v>
      </c>
      <c r="KG77">
        <v>465</v>
      </c>
      <c r="KH77" s="1">
        <v>9890</v>
      </c>
      <c r="KI77">
        <v>0</v>
      </c>
      <c r="KJ77">
        <v>0</v>
      </c>
      <c r="KK77">
        <v>22</v>
      </c>
      <c r="KL77">
        <v>256</v>
      </c>
      <c r="KM77" s="1">
        <v>6045</v>
      </c>
      <c r="KN77" s="1">
        <v>1204</v>
      </c>
      <c r="KO77">
        <v>106</v>
      </c>
      <c r="KQ77">
        <v>7</v>
      </c>
      <c r="KR77">
        <v>44</v>
      </c>
      <c r="KS77">
        <v>378</v>
      </c>
      <c r="KT77">
        <v>83</v>
      </c>
      <c r="KU77">
        <v>12</v>
      </c>
      <c r="KV77">
        <v>16</v>
      </c>
      <c r="KW77" s="1">
        <v>6841</v>
      </c>
      <c r="KY77" s="1">
        <v>40607</v>
      </c>
      <c r="KZ77" s="1">
        <v>7553</v>
      </c>
      <c r="LC77" t="s">
        <v>1746</v>
      </c>
      <c r="LD77" t="s">
        <v>689</v>
      </c>
      <c r="LE77" t="s">
        <v>1744</v>
      </c>
      <c r="LF77" t="s">
        <v>1745</v>
      </c>
      <c r="LG77">
        <v>28387</v>
      </c>
      <c r="LH77">
        <v>4819</v>
      </c>
      <c r="LI77" t="s">
        <v>1744</v>
      </c>
      <c r="LJ77" t="s">
        <v>1745</v>
      </c>
      <c r="LK77">
        <v>28387</v>
      </c>
      <c r="LL77">
        <v>4819</v>
      </c>
      <c r="LM77" t="s">
        <v>1747</v>
      </c>
      <c r="LN77">
        <v>9106928235</v>
      </c>
      <c r="LO77" t="s">
        <v>1754</v>
      </c>
      <c r="LP77" s="1">
        <v>14750</v>
      </c>
      <c r="LQ77">
        <v>10.45</v>
      </c>
      <c r="LS77" s="1">
        <v>2756</v>
      </c>
      <c r="LT77">
        <v>52</v>
      </c>
      <c r="LW77">
        <v>2</v>
      </c>
      <c r="LX77" t="s">
        <v>1755</v>
      </c>
      <c r="LY77">
        <v>0</v>
      </c>
      <c r="LZ77" t="s">
        <v>691</v>
      </c>
      <c r="MA77">
        <v>97.82</v>
      </c>
      <c r="MB77">
        <v>94.78</v>
      </c>
    </row>
    <row r="78" spans="1:340" x14ac:dyDescent="0.25">
      <c r="A78" t="s">
        <v>1756</v>
      </c>
      <c r="B78">
        <v>0</v>
      </c>
      <c r="C78">
        <v>1375</v>
      </c>
      <c r="D78">
        <v>2017</v>
      </c>
      <c r="E78">
        <v>0</v>
      </c>
      <c r="F78" t="s">
        <v>1756</v>
      </c>
      <c r="G78" t="s">
        <v>1757</v>
      </c>
      <c r="H78" t="s">
        <v>668</v>
      </c>
      <c r="I78" t="s">
        <v>669</v>
      </c>
      <c r="J78" t="s">
        <v>670</v>
      </c>
      <c r="K78" t="s">
        <v>671</v>
      </c>
      <c r="L78" t="s">
        <v>672</v>
      </c>
      <c r="M78" t="s">
        <v>673</v>
      </c>
      <c r="N78" s="1">
        <v>61234</v>
      </c>
      <c r="O78" t="s">
        <v>674</v>
      </c>
      <c r="P78">
        <v>346</v>
      </c>
      <c r="Q78">
        <v>63</v>
      </c>
      <c r="R78">
        <v>100</v>
      </c>
      <c r="S78">
        <v>9</v>
      </c>
      <c r="T78" s="1">
        <v>3246</v>
      </c>
      <c r="U78">
        <v>394</v>
      </c>
      <c r="V78" s="1">
        <v>19628</v>
      </c>
      <c r="Z78" t="s">
        <v>1758</v>
      </c>
      <c r="AA78" t="s">
        <v>1759</v>
      </c>
      <c r="AB78">
        <v>28001</v>
      </c>
      <c r="AC78">
        <v>4939</v>
      </c>
      <c r="AD78" t="s">
        <v>1758</v>
      </c>
      <c r="AE78" t="s">
        <v>1759</v>
      </c>
      <c r="AF78">
        <v>28001</v>
      </c>
      <c r="AG78">
        <v>2</v>
      </c>
      <c r="AH78" t="s">
        <v>1760</v>
      </c>
      <c r="AJ78" t="s">
        <v>35</v>
      </c>
      <c r="AK78" t="s">
        <v>1761</v>
      </c>
      <c r="AL78" t="s">
        <v>1762</v>
      </c>
      <c r="AM78" t="s">
        <v>1763</v>
      </c>
      <c r="AN78" t="s">
        <v>1764</v>
      </c>
      <c r="AO78" t="s">
        <v>1765</v>
      </c>
      <c r="AP78" t="s">
        <v>1762</v>
      </c>
      <c r="AQ78" t="s">
        <v>36</v>
      </c>
      <c r="AR78" t="s">
        <v>1763</v>
      </c>
      <c r="AT78" t="s">
        <v>1765</v>
      </c>
      <c r="AU78" t="s">
        <v>1766</v>
      </c>
      <c r="BC78">
        <v>1</v>
      </c>
      <c r="BD78">
        <v>4</v>
      </c>
      <c r="BE78">
        <v>0</v>
      </c>
      <c r="BG78">
        <v>5</v>
      </c>
      <c r="BI78" s="1">
        <v>8064</v>
      </c>
      <c r="BJ78">
        <v>3.75</v>
      </c>
      <c r="BK78">
        <v>0</v>
      </c>
      <c r="BL78">
        <v>3.75</v>
      </c>
      <c r="BM78">
        <v>10</v>
      </c>
      <c r="BN78">
        <v>13.75</v>
      </c>
      <c r="BO78" s="3">
        <v>0.2727</v>
      </c>
      <c r="BP78" s="1">
        <v>1714</v>
      </c>
      <c r="BQ78" s="4">
        <v>66269</v>
      </c>
      <c r="BU78" s="4">
        <v>33795</v>
      </c>
      <c r="BV78" s="4">
        <v>50650</v>
      </c>
      <c r="BW78" s="4">
        <v>17754</v>
      </c>
      <c r="BY78" s="4">
        <v>40414</v>
      </c>
      <c r="BZ78" s="4">
        <v>60625</v>
      </c>
      <c r="CA78" s="4">
        <v>38403</v>
      </c>
      <c r="CC78" s="4">
        <v>40414</v>
      </c>
      <c r="CD78" s="4">
        <v>60625</v>
      </c>
      <c r="CE78" s="1">
        <v>44975</v>
      </c>
      <c r="CG78" s="4">
        <v>40414</v>
      </c>
      <c r="CH78" s="4">
        <v>60625</v>
      </c>
      <c r="CI78" s="4">
        <v>42435</v>
      </c>
      <c r="DK78" s="4">
        <v>33795</v>
      </c>
      <c r="DL78" s="4">
        <v>50640</v>
      </c>
      <c r="DM78" s="4">
        <v>38896</v>
      </c>
      <c r="DO78" s="4">
        <v>24643</v>
      </c>
      <c r="DP78" s="4">
        <v>36963</v>
      </c>
      <c r="DQ78" s="4">
        <v>31984</v>
      </c>
      <c r="DS78" s="4">
        <v>29499</v>
      </c>
      <c r="DT78" s="4">
        <v>44248</v>
      </c>
      <c r="DU78" s="4">
        <v>44248</v>
      </c>
      <c r="DV78" s="4">
        <v>0</v>
      </c>
      <c r="DW78" s="4">
        <v>1168723</v>
      </c>
      <c r="DX78" s="4">
        <v>1168723</v>
      </c>
      <c r="DY78" s="4">
        <v>114412</v>
      </c>
      <c r="DZ78" s="4">
        <v>0</v>
      </c>
      <c r="EA78" s="4">
        <v>114412</v>
      </c>
      <c r="EB78" s="4">
        <v>0</v>
      </c>
      <c r="EC78" s="4">
        <v>0</v>
      </c>
      <c r="ED78" s="4">
        <v>0</v>
      </c>
      <c r="EE78" s="4">
        <v>21987</v>
      </c>
      <c r="EF78" s="4">
        <v>1305122</v>
      </c>
      <c r="EG78" s="4">
        <v>618539</v>
      </c>
      <c r="EH78" s="4">
        <v>208954</v>
      </c>
      <c r="EI78" s="4">
        <v>827493</v>
      </c>
      <c r="EJ78" s="4">
        <v>62559</v>
      </c>
      <c r="EK78" s="4">
        <v>7000</v>
      </c>
      <c r="EL78" s="4">
        <v>11000</v>
      </c>
      <c r="EM78" s="4">
        <v>80559</v>
      </c>
      <c r="EN78" s="4">
        <v>221350</v>
      </c>
      <c r="EO78" s="4">
        <v>1129402</v>
      </c>
      <c r="EP78" s="4">
        <v>175720</v>
      </c>
      <c r="EQ78" s="3">
        <v>0.1346</v>
      </c>
      <c r="ER78" s="4">
        <v>8400</v>
      </c>
      <c r="ES78" s="4">
        <v>0</v>
      </c>
      <c r="ET78" s="4">
        <v>0</v>
      </c>
      <c r="EU78" s="4">
        <v>-1</v>
      </c>
      <c r="EV78" s="4">
        <v>8399</v>
      </c>
      <c r="EW78" s="4">
        <v>2877</v>
      </c>
      <c r="EX78" s="1">
        <v>13965</v>
      </c>
      <c r="EY78" s="1">
        <v>199876</v>
      </c>
      <c r="EZ78" s="1">
        <v>36025</v>
      </c>
      <c r="FA78" s="1">
        <v>2881</v>
      </c>
      <c r="FB78" s="1">
        <v>22979</v>
      </c>
      <c r="FC78" s="1">
        <v>28289</v>
      </c>
      <c r="FD78">
        <v>113</v>
      </c>
      <c r="FE78" s="1">
        <v>8615</v>
      </c>
      <c r="FF78" s="1">
        <v>64314</v>
      </c>
      <c r="FG78" s="1">
        <v>2994</v>
      </c>
      <c r="FH78" s="1">
        <v>31594</v>
      </c>
      <c r="FI78" s="1">
        <v>98902</v>
      </c>
      <c r="FJ78" s="1">
        <v>2688</v>
      </c>
      <c r="FK78">
        <v>250</v>
      </c>
      <c r="FM78" s="1">
        <v>98902</v>
      </c>
      <c r="FN78" s="1">
        <v>2779</v>
      </c>
      <c r="FO78" s="1">
        <v>5934</v>
      </c>
      <c r="FP78" s="1">
        <v>2688</v>
      </c>
      <c r="FQ78">
        <v>1</v>
      </c>
      <c r="FR78">
        <v>88</v>
      </c>
      <c r="FS78">
        <v>89</v>
      </c>
      <c r="FT78" s="1">
        <v>44141</v>
      </c>
      <c r="FU78" s="1">
        <v>3505</v>
      </c>
      <c r="FV78">
        <v>0</v>
      </c>
      <c r="FW78">
        <v>0</v>
      </c>
      <c r="FX78" s="1">
        <v>8544</v>
      </c>
      <c r="FY78" s="1">
        <v>1573</v>
      </c>
      <c r="FZ78">
        <v>322</v>
      </c>
      <c r="GA78">
        <v>0</v>
      </c>
      <c r="GB78" s="1">
        <v>26436</v>
      </c>
      <c r="GC78" s="1">
        <v>1747</v>
      </c>
      <c r="GD78">
        <v>278</v>
      </c>
      <c r="GE78">
        <v>0</v>
      </c>
      <c r="GJ78">
        <v>0</v>
      </c>
      <c r="GK78">
        <v>0</v>
      </c>
      <c r="GL78">
        <v>0</v>
      </c>
      <c r="GM78">
        <v>0</v>
      </c>
      <c r="GN78" s="1">
        <v>79121</v>
      </c>
      <c r="GO78" s="1">
        <v>6825</v>
      </c>
      <c r="GP78">
        <v>600</v>
      </c>
      <c r="GQ78">
        <v>0</v>
      </c>
      <c r="GR78">
        <v>16</v>
      </c>
      <c r="GT78" s="1">
        <v>59824</v>
      </c>
      <c r="GU78" s="1">
        <v>3020</v>
      </c>
      <c r="GV78" s="1">
        <v>41421</v>
      </c>
      <c r="GW78" s="1">
        <v>10899</v>
      </c>
      <c r="GX78">
        <v>52</v>
      </c>
      <c r="GY78" s="1">
        <v>5790</v>
      </c>
      <c r="GZ78" s="1">
        <v>70723</v>
      </c>
      <c r="HA78" s="1">
        <v>3072</v>
      </c>
      <c r="HB78" s="1">
        <v>47211</v>
      </c>
      <c r="HC78" s="1">
        <v>121006</v>
      </c>
      <c r="HD78">
        <v>916</v>
      </c>
      <c r="HE78" s="1">
        <v>121939</v>
      </c>
      <c r="HF78" s="1">
        <v>6721</v>
      </c>
      <c r="HG78" s="1">
        <v>14476</v>
      </c>
      <c r="HH78">
        <v>17</v>
      </c>
      <c r="HI78">
        <v>502</v>
      </c>
      <c r="HJ78" s="1">
        <v>21699</v>
      </c>
      <c r="HK78" s="1">
        <v>143638</v>
      </c>
      <c r="HL78">
        <v>29</v>
      </c>
      <c r="HM78" s="1">
        <v>11763</v>
      </c>
      <c r="HN78" s="1">
        <v>11792</v>
      </c>
      <c r="HO78">
        <v>166</v>
      </c>
      <c r="HP78" s="1">
        <v>2209</v>
      </c>
      <c r="HQ78" s="1">
        <v>2375</v>
      </c>
      <c r="HR78">
        <v>0</v>
      </c>
      <c r="HS78">
        <v>35</v>
      </c>
      <c r="HT78">
        <v>35</v>
      </c>
      <c r="HU78">
        <v>195</v>
      </c>
      <c r="HV78" s="1">
        <v>14397</v>
      </c>
      <c r="HW78" s="1">
        <v>5570</v>
      </c>
      <c r="HX78">
        <v>113</v>
      </c>
      <c r="HY78" s="1">
        <v>5683</v>
      </c>
      <c r="HZ78" s="1">
        <v>20080</v>
      </c>
      <c r="IA78" s="1">
        <v>9096</v>
      </c>
      <c r="IB78" s="1">
        <v>23607</v>
      </c>
      <c r="IC78" s="1">
        <v>158035</v>
      </c>
      <c r="ID78" s="1">
        <v>158035</v>
      </c>
      <c r="IE78" s="1">
        <v>163718</v>
      </c>
      <c r="IF78" s="1">
        <v>50512</v>
      </c>
      <c r="IG78">
        <v>368</v>
      </c>
      <c r="IJ78">
        <v>1</v>
      </c>
      <c r="IK78" s="3">
        <v>3.27E-2</v>
      </c>
      <c r="IL78" s="3">
        <v>1.2999999999999999E-3</v>
      </c>
      <c r="IM78" s="3">
        <v>0.433</v>
      </c>
      <c r="IN78" s="3">
        <v>0</v>
      </c>
      <c r="IO78" s="3">
        <v>0.39589999999999997</v>
      </c>
      <c r="IP78" s="3">
        <v>4.0000000000000002E-4</v>
      </c>
      <c r="IQ78" s="3">
        <v>0.49480000000000002</v>
      </c>
      <c r="IR78" s="3">
        <v>4.8000000000000001E-2</v>
      </c>
      <c r="IS78" s="3">
        <v>0.3196</v>
      </c>
      <c r="IT78" s="1">
        <v>20516</v>
      </c>
      <c r="IU78" s="1">
        <v>5339</v>
      </c>
      <c r="IV78" s="1">
        <v>25855</v>
      </c>
      <c r="IW78" s="3">
        <v>0.42220000000000002</v>
      </c>
      <c r="IX78" s="1">
        <v>130726</v>
      </c>
      <c r="IZ78">
        <v>86</v>
      </c>
      <c r="JA78">
        <v>0</v>
      </c>
      <c r="JB78">
        <v>431</v>
      </c>
      <c r="JC78">
        <v>0</v>
      </c>
      <c r="JD78">
        <v>0</v>
      </c>
      <c r="JE78">
        <v>26</v>
      </c>
      <c r="JF78">
        <v>86</v>
      </c>
      <c r="JG78">
        <v>0</v>
      </c>
      <c r="JH78">
        <v>457</v>
      </c>
      <c r="JI78">
        <v>543</v>
      </c>
      <c r="JJ78">
        <v>517</v>
      </c>
      <c r="JK78">
        <v>26</v>
      </c>
      <c r="JL78">
        <v>638</v>
      </c>
      <c r="JM78">
        <v>0</v>
      </c>
      <c r="JN78" s="1">
        <v>7061</v>
      </c>
      <c r="JO78">
        <v>0</v>
      </c>
      <c r="JP78">
        <v>0</v>
      </c>
      <c r="JQ78" s="1">
        <v>4439</v>
      </c>
      <c r="JR78">
        <v>638</v>
      </c>
      <c r="JS78">
        <v>0</v>
      </c>
      <c r="JT78" s="1">
        <v>11500</v>
      </c>
      <c r="JU78" s="1">
        <v>12138</v>
      </c>
      <c r="JV78" s="1">
        <v>7699</v>
      </c>
      <c r="JW78" s="1">
        <v>4439</v>
      </c>
      <c r="JX78">
        <v>22.35</v>
      </c>
      <c r="JY78">
        <v>7.42</v>
      </c>
      <c r="JZ78">
        <v>25.16</v>
      </c>
      <c r="KA78">
        <v>0.05</v>
      </c>
      <c r="KB78">
        <v>0.95</v>
      </c>
      <c r="KC78">
        <v>0</v>
      </c>
      <c r="KD78">
        <v>0</v>
      </c>
      <c r="KE78">
        <v>34</v>
      </c>
      <c r="KF78">
        <v>43</v>
      </c>
      <c r="KG78">
        <v>103</v>
      </c>
      <c r="KH78" s="1">
        <v>1505</v>
      </c>
      <c r="KI78">
        <v>0</v>
      </c>
      <c r="KJ78">
        <v>0</v>
      </c>
      <c r="KK78">
        <v>0</v>
      </c>
      <c r="KL78">
        <v>0</v>
      </c>
      <c r="KM78" s="1">
        <v>14040</v>
      </c>
      <c r="KN78" s="1">
        <v>9211</v>
      </c>
      <c r="KO78">
        <v>850</v>
      </c>
      <c r="KQ78">
        <v>73</v>
      </c>
      <c r="KR78" s="1">
        <v>1405</v>
      </c>
      <c r="KS78">
        <v>22</v>
      </c>
      <c r="KT78">
        <v>34</v>
      </c>
      <c r="KU78">
        <v>20</v>
      </c>
      <c r="KV78">
        <v>42</v>
      </c>
      <c r="KW78" s="1">
        <v>13803</v>
      </c>
      <c r="KY78" s="1">
        <v>32373</v>
      </c>
      <c r="LC78" t="s">
        <v>1760</v>
      </c>
      <c r="LD78" t="s">
        <v>709</v>
      </c>
      <c r="LE78" t="s">
        <v>1758</v>
      </c>
      <c r="LF78" t="s">
        <v>1759</v>
      </c>
      <c r="LG78">
        <v>28001</v>
      </c>
      <c r="LH78">
        <v>4993</v>
      </c>
      <c r="LI78" t="s">
        <v>1758</v>
      </c>
      <c r="LJ78" t="s">
        <v>1759</v>
      </c>
      <c r="LK78">
        <v>28001</v>
      </c>
      <c r="LL78">
        <v>4993</v>
      </c>
      <c r="LM78" t="s">
        <v>1761</v>
      </c>
      <c r="LN78">
        <v>7049863765</v>
      </c>
      <c r="LO78">
        <v>7049836713</v>
      </c>
      <c r="LP78" s="1">
        <v>28135</v>
      </c>
      <c r="LQ78">
        <v>15.16</v>
      </c>
      <c r="LS78" s="1">
        <v>8064</v>
      </c>
      <c r="LT78">
        <v>260</v>
      </c>
      <c r="LW78">
        <v>2</v>
      </c>
      <c r="LX78" t="s">
        <v>1767</v>
      </c>
      <c r="LY78">
        <v>0</v>
      </c>
      <c r="LZ78" t="s">
        <v>691</v>
      </c>
      <c r="MA78">
        <v>99.27</v>
      </c>
      <c r="MB78">
        <v>99.88</v>
      </c>
    </row>
    <row r="79" spans="1:340" x14ac:dyDescent="0.25">
      <c r="A79" t="s">
        <v>1768</v>
      </c>
      <c r="B79">
        <v>0</v>
      </c>
      <c r="C79">
        <v>1375</v>
      </c>
      <c r="D79">
        <v>2017</v>
      </c>
      <c r="E79">
        <v>0</v>
      </c>
      <c r="F79" t="s">
        <v>1768</v>
      </c>
      <c r="G79" t="s">
        <v>1769</v>
      </c>
      <c r="H79" t="s">
        <v>668</v>
      </c>
      <c r="I79" t="s">
        <v>669</v>
      </c>
      <c r="J79" t="s">
        <v>670</v>
      </c>
      <c r="K79" t="s">
        <v>671</v>
      </c>
      <c r="L79" t="s">
        <v>672</v>
      </c>
      <c r="M79" t="s">
        <v>673</v>
      </c>
      <c r="N79" s="1">
        <v>33745</v>
      </c>
      <c r="O79" t="s">
        <v>674</v>
      </c>
      <c r="P79">
        <v>656</v>
      </c>
      <c r="Q79">
        <v>69</v>
      </c>
      <c r="R79">
        <v>91</v>
      </c>
      <c r="S79">
        <v>25</v>
      </c>
      <c r="T79" s="1">
        <v>4453</v>
      </c>
      <c r="U79">
        <v>189</v>
      </c>
      <c r="V79" s="1">
        <v>24047</v>
      </c>
      <c r="W79" s="1">
        <v>3995</v>
      </c>
      <c r="X79" s="1">
        <v>368920</v>
      </c>
      <c r="Y79" s="1">
        <v>39620</v>
      </c>
      <c r="Z79" t="s">
        <v>1770</v>
      </c>
      <c r="AA79" t="s">
        <v>1771</v>
      </c>
      <c r="AB79">
        <v>28712</v>
      </c>
      <c r="AC79">
        <v>3729</v>
      </c>
      <c r="AD79" t="s">
        <v>1770</v>
      </c>
      <c r="AE79" t="s">
        <v>1771</v>
      </c>
      <c r="AF79">
        <v>28712</v>
      </c>
      <c r="AG79">
        <v>2</v>
      </c>
      <c r="AH79" t="s">
        <v>1772</v>
      </c>
      <c r="AJ79" t="s">
        <v>35</v>
      </c>
      <c r="AK79" t="s">
        <v>1773</v>
      </c>
      <c r="AL79" t="s">
        <v>1774</v>
      </c>
      <c r="AM79" t="s">
        <v>1775</v>
      </c>
      <c r="AN79" t="s">
        <v>1776</v>
      </c>
      <c r="AO79" t="s">
        <v>1777</v>
      </c>
      <c r="AP79" t="s">
        <v>1778</v>
      </c>
      <c r="AQ79" t="s">
        <v>1779</v>
      </c>
      <c r="AR79" t="s">
        <v>1780</v>
      </c>
      <c r="AS79" t="s">
        <v>1776</v>
      </c>
      <c r="AT79" t="s">
        <v>1781</v>
      </c>
      <c r="AU79" t="s">
        <v>1782</v>
      </c>
      <c r="BC79">
        <v>1</v>
      </c>
      <c r="BD79">
        <v>0</v>
      </c>
      <c r="BE79">
        <v>1</v>
      </c>
      <c r="BF79">
        <v>0</v>
      </c>
      <c r="BG79">
        <v>2</v>
      </c>
      <c r="BI79" s="1">
        <v>3440</v>
      </c>
      <c r="BJ79">
        <v>4.6900000000000004</v>
      </c>
      <c r="BK79">
        <v>0.94</v>
      </c>
      <c r="BL79">
        <v>5.63</v>
      </c>
      <c r="BM79">
        <v>12.19</v>
      </c>
      <c r="BN79">
        <v>17.82</v>
      </c>
      <c r="BO79" s="3">
        <v>0.26319999999999999</v>
      </c>
      <c r="BP79" s="1">
        <v>6086</v>
      </c>
      <c r="BQ79" s="4">
        <v>79015</v>
      </c>
      <c r="BY79" s="4">
        <v>40750</v>
      </c>
      <c r="BZ79" s="4">
        <v>40750</v>
      </c>
      <c r="CA79" s="4">
        <v>40750</v>
      </c>
      <c r="CC79" s="4">
        <v>58962</v>
      </c>
      <c r="CD79" s="4">
        <v>58962</v>
      </c>
      <c r="CE79" s="1">
        <v>58962</v>
      </c>
      <c r="CK79" s="4">
        <v>40804</v>
      </c>
      <c r="CL79" s="4">
        <v>40804</v>
      </c>
      <c r="CM79" s="1">
        <v>40804</v>
      </c>
      <c r="CO79" s="4">
        <v>48896</v>
      </c>
      <c r="CP79" s="4">
        <v>48896</v>
      </c>
      <c r="CQ79" s="4">
        <v>48896</v>
      </c>
      <c r="CR79" s="4">
        <v>36959</v>
      </c>
      <c r="CS79" s="4">
        <v>36959</v>
      </c>
      <c r="CT79" s="4">
        <v>36959</v>
      </c>
      <c r="DO79" s="4">
        <v>28509</v>
      </c>
      <c r="DP79" s="4">
        <v>28509</v>
      </c>
      <c r="DQ79" s="4">
        <v>28509</v>
      </c>
      <c r="DV79" s="4">
        <v>0</v>
      </c>
      <c r="DW79" s="4">
        <v>1338810</v>
      </c>
      <c r="DX79" s="4">
        <v>1338810</v>
      </c>
      <c r="DY79" s="4">
        <v>87304</v>
      </c>
      <c r="DZ79" s="4">
        <v>0</v>
      </c>
      <c r="EA79" s="4">
        <v>87304</v>
      </c>
      <c r="EB79" s="4">
        <v>48626</v>
      </c>
      <c r="EC79" s="4">
        <v>14376</v>
      </c>
      <c r="ED79" s="4">
        <v>63002</v>
      </c>
      <c r="EE79" s="4">
        <v>4000</v>
      </c>
      <c r="EF79" s="4">
        <v>1493116</v>
      </c>
      <c r="EG79" s="4">
        <v>690006</v>
      </c>
      <c r="EH79" s="4">
        <v>297469</v>
      </c>
      <c r="EI79" s="4">
        <v>987475</v>
      </c>
      <c r="EJ79" s="4">
        <v>94030</v>
      </c>
      <c r="EK79" s="4">
        <v>45051</v>
      </c>
      <c r="EL79" s="4">
        <v>19404</v>
      </c>
      <c r="EM79" s="4">
        <v>158485</v>
      </c>
      <c r="EN79" s="4">
        <v>318745</v>
      </c>
      <c r="EO79" s="4">
        <v>1464705</v>
      </c>
      <c r="EP79" s="4">
        <v>28411</v>
      </c>
      <c r="EQ79" s="3">
        <v>1.9E-2</v>
      </c>
      <c r="ER79" s="4">
        <v>0</v>
      </c>
      <c r="ES79" s="4">
        <v>0</v>
      </c>
      <c r="ET79" s="4">
        <v>0</v>
      </c>
      <c r="EU79" s="4">
        <v>0</v>
      </c>
      <c r="EV79" s="4">
        <v>0</v>
      </c>
      <c r="EW79" s="4">
        <v>0</v>
      </c>
      <c r="EX79" s="1">
        <v>32060</v>
      </c>
      <c r="EY79" s="1">
        <v>249063</v>
      </c>
      <c r="EZ79" s="1">
        <v>38109</v>
      </c>
      <c r="FA79" s="1">
        <v>4965</v>
      </c>
      <c r="FB79" s="1">
        <v>22237</v>
      </c>
      <c r="FC79" s="1">
        <v>40119</v>
      </c>
      <c r="FD79" s="1">
        <v>2121</v>
      </c>
      <c r="FE79" s="1">
        <v>15345</v>
      </c>
      <c r="FF79" s="1">
        <v>78228</v>
      </c>
      <c r="FG79" s="1">
        <v>7086</v>
      </c>
      <c r="FH79" s="1">
        <v>37582</v>
      </c>
      <c r="FI79" s="1">
        <v>122896</v>
      </c>
      <c r="FJ79">
        <v>284</v>
      </c>
      <c r="FK79">
        <v>126</v>
      </c>
      <c r="FM79" s="1">
        <v>122896</v>
      </c>
      <c r="FN79" s="1">
        <v>6547</v>
      </c>
      <c r="FO79" s="1">
        <v>8028</v>
      </c>
      <c r="FP79">
        <v>524</v>
      </c>
      <c r="FQ79">
        <v>11</v>
      </c>
      <c r="FR79">
        <v>88</v>
      </c>
      <c r="FS79">
        <v>99</v>
      </c>
      <c r="FT79" s="1">
        <v>44141</v>
      </c>
      <c r="FU79" s="1">
        <v>3505</v>
      </c>
      <c r="FV79">
        <v>0</v>
      </c>
      <c r="FW79">
        <v>0</v>
      </c>
      <c r="FX79" s="1">
        <v>8544</v>
      </c>
      <c r="FY79" s="1">
        <v>1573</v>
      </c>
      <c r="FZ79">
        <v>322</v>
      </c>
      <c r="GA79">
        <v>0</v>
      </c>
      <c r="GF79" s="1">
        <v>36593</v>
      </c>
      <c r="GG79" s="1">
        <v>13194</v>
      </c>
      <c r="GH79">
        <v>264</v>
      </c>
      <c r="GI79">
        <v>12</v>
      </c>
      <c r="GJ79" s="1">
        <v>1835</v>
      </c>
      <c r="GK79">
        <v>335</v>
      </c>
      <c r="GL79">
        <v>187</v>
      </c>
      <c r="GM79">
        <v>54</v>
      </c>
      <c r="GN79" s="1">
        <v>91113</v>
      </c>
      <c r="GO79" s="1">
        <v>18607</v>
      </c>
      <c r="GP79">
        <v>773</v>
      </c>
      <c r="GQ79">
        <v>66</v>
      </c>
      <c r="GR79">
        <v>39</v>
      </c>
      <c r="GT79" s="1">
        <v>83800</v>
      </c>
      <c r="GU79" s="1">
        <v>8878</v>
      </c>
      <c r="GV79" s="1">
        <v>56862</v>
      </c>
      <c r="GW79" s="1">
        <v>35656</v>
      </c>
      <c r="GX79">
        <v>299</v>
      </c>
      <c r="GY79" s="1">
        <v>21281</v>
      </c>
      <c r="GZ79" s="1">
        <v>119456</v>
      </c>
      <c r="HA79" s="1">
        <v>9177</v>
      </c>
      <c r="HB79" s="1">
        <v>78143</v>
      </c>
      <c r="HC79" s="1">
        <v>206776</v>
      </c>
      <c r="HD79">
        <v>0</v>
      </c>
      <c r="HE79" s="1">
        <v>206776</v>
      </c>
      <c r="HF79" s="1">
        <v>17643</v>
      </c>
      <c r="HG79" s="1">
        <v>54513</v>
      </c>
      <c r="HH79">
        <v>0</v>
      </c>
      <c r="HI79">
        <v>0</v>
      </c>
      <c r="HJ79" s="1">
        <v>72156</v>
      </c>
      <c r="HK79" s="1">
        <v>278932</v>
      </c>
      <c r="HL79">
        <v>32</v>
      </c>
      <c r="HM79" s="1">
        <v>30820</v>
      </c>
      <c r="HN79" s="1">
        <v>30852</v>
      </c>
      <c r="HO79">
        <v>5</v>
      </c>
      <c r="HP79" s="1">
        <v>9929</v>
      </c>
      <c r="HQ79" s="1">
        <v>9934</v>
      </c>
      <c r="HR79">
        <v>0</v>
      </c>
      <c r="HS79">
        <v>199</v>
      </c>
      <c r="HT79">
        <v>199</v>
      </c>
      <c r="HU79" s="1">
        <v>4115</v>
      </c>
      <c r="HV79" s="1">
        <v>45100</v>
      </c>
      <c r="HW79" s="1">
        <v>12335</v>
      </c>
      <c r="HX79" s="1">
        <v>43185</v>
      </c>
      <c r="HY79" s="1">
        <v>55520</v>
      </c>
      <c r="HZ79" s="1">
        <v>100620</v>
      </c>
      <c r="IA79" s="1">
        <v>27577</v>
      </c>
      <c r="IB79" s="1">
        <v>82289</v>
      </c>
      <c r="IC79" s="1">
        <v>324032</v>
      </c>
      <c r="ID79" s="1">
        <v>324032</v>
      </c>
      <c r="IE79" s="1">
        <v>379552</v>
      </c>
      <c r="IF79" s="1">
        <v>108624</v>
      </c>
      <c r="IG79">
        <v>145</v>
      </c>
      <c r="IJ79">
        <v>1</v>
      </c>
      <c r="IK79" s="3">
        <v>3.5299999999999998E-2</v>
      </c>
      <c r="IL79" s="3">
        <v>5.0000000000000001E-4</v>
      </c>
      <c r="IM79" s="3">
        <v>0.44390000000000002</v>
      </c>
      <c r="IN79" s="3">
        <v>0</v>
      </c>
      <c r="IO79" s="3">
        <v>0.36580000000000001</v>
      </c>
      <c r="IP79" s="3">
        <v>4.0000000000000002E-4</v>
      </c>
      <c r="IQ79" s="3">
        <v>0.49340000000000001</v>
      </c>
      <c r="IR79" s="3">
        <v>0.10100000000000001</v>
      </c>
      <c r="IS79" s="3">
        <v>0.3352</v>
      </c>
      <c r="IT79" s="1">
        <v>14548</v>
      </c>
      <c r="IU79" s="1">
        <v>2994</v>
      </c>
      <c r="IV79" s="1">
        <v>17542</v>
      </c>
      <c r="IW79" s="3">
        <v>0.51980000000000004</v>
      </c>
      <c r="IX79" s="1">
        <v>209481</v>
      </c>
      <c r="IZ79">
        <v>96</v>
      </c>
      <c r="JA79">
        <v>53</v>
      </c>
      <c r="JB79">
        <v>286</v>
      </c>
      <c r="JC79">
        <v>22</v>
      </c>
      <c r="JD79">
        <v>8</v>
      </c>
      <c r="JE79">
        <v>11</v>
      </c>
      <c r="JF79">
        <v>118</v>
      </c>
      <c r="JG79">
        <v>61</v>
      </c>
      <c r="JH79">
        <v>297</v>
      </c>
      <c r="JI79">
        <v>476</v>
      </c>
      <c r="JJ79">
        <v>435</v>
      </c>
      <c r="JK79">
        <v>41</v>
      </c>
      <c r="JL79" s="1">
        <v>6350</v>
      </c>
      <c r="JM79">
        <v>229</v>
      </c>
      <c r="JN79" s="1">
        <v>8557</v>
      </c>
      <c r="JO79">
        <v>886</v>
      </c>
      <c r="JP79">
        <v>750</v>
      </c>
      <c r="JQ79" s="1">
        <v>1489</v>
      </c>
      <c r="JR79" s="1">
        <v>7236</v>
      </c>
      <c r="JS79">
        <v>979</v>
      </c>
      <c r="JT79" s="1">
        <v>10046</v>
      </c>
      <c r="JU79" s="1">
        <v>18261</v>
      </c>
      <c r="JV79" s="1">
        <v>15136</v>
      </c>
      <c r="JW79" s="1">
        <v>3125</v>
      </c>
      <c r="JX79">
        <v>38.36</v>
      </c>
      <c r="JY79">
        <v>61.32</v>
      </c>
      <c r="JZ79">
        <v>33.82</v>
      </c>
      <c r="KA79">
        <v>0.4</v>
      </c>
      <c r="KB79">
        <v>0.55000000000000004</v>
      </c>
      <c r="KC79">
        <v>0</v>
      </c>
      <c r="KD79">
        <v>0</v>
      </c>
      <c r="KE79">
        <v>38</v>
      </c>
      <c r="KF79">
        <v>437</v>
      </c>
      <c r="KG79">
        <v>216</v>
      </c>
      <c r="KH79" s="1">
        <v>4552</v>
      </c>
      <c r="KI79">
        <v>0</v>
      </c>
      <c r="KJ79">
        <v>0</v>
      </c>
      <c r="KK79">
        <v>108</v>
      </c>
      <c r="KL79" s="1">
        <v>2425</v>
      </c>
      <c r="KM79" s="1">
        <v>15171</v>
      </c>
      <c r="KN79" s="1">
        <v>7144</v>
      </c>
      <c r="KO79">
        <v>297</v>
      </c>
      <c r="KQ79">
        <v>849</v>
      </c>
      <c r="KR79" s="1">
        <v>6302</v>
      </c>
      <c r="KS79">
        <v>249</v>
      </c>
      <c r="KT79">
        <v>237</v>
      </c>
      <c r="KU79">
        <v>34</v>
      </c>
      <c r="KV79">
        <v>47</v>
      </c>
      <c r="KW79" s="1">
        <v>27447</v>
      </c>
      <c r="KY79" s="1">
        <v>141448</v>
      </c>
      <c r="KZ79" s="1">
        <v>32820</v>
      </c>
      <c r="LC79" t="s">
        <v>1772</v>
      </c>
      <c r="LD79" t="s">
        <v>709</v>
      </c>
      <c r="LE79" t="s">
        <v>1770</v>
      </c>
      <c r="LF79" t="s">
        <v>1771</v>
      </c>
      <c r="LG79">
        <v>28712</v>
      </c>
      <c r="LH79">
        <v>3729</v>
      </c>
      <c r="LI79" t="s">
        <v>1770</v>
      </c>
      <c r="LJ79" t="s">
        <v>1771</v>
      </c>
      <c r="LK79">
        <v>28712</v>
      </c>
      <c r="LL79">
        <v>3729</v>
      </c>
      <c r="LM79" t="s">
        <v>1773</v>
      </c>
      <c r="LN79">
        <v>8288843151</v>
      </c>
      <c r="LO79">
        <v>8288774230</v>
      </c>
      <c r="LP79" s="1">
        <v>34811</v>
      </c>
      <c r="LQ79">
        <v>17.760000000000002</v>
      </c>
      <c r="LS79" s="1">
        <v>3440</v>
      </c>
      <c r="LT79">
        <v>104</v>
      </c>
      <c r="LW79">
        <v>2</v>
      </c>
      <c r="LX79" t="s">
        <v>1783</v>
      </c>
      <c r="LY79">
        <v>0</v>
      </c>
      <c r="LZ79" t="s">
        <v>691</v>
      </c>
      <c r="MA79">
        <v>72</v>
      </c>
      <c r="MB79">
        <v>235</v>
      </c>
    </row>
    <row r="80" spans="1:340" x14ac:dyDescent="0.25">
      <c r="A80" t="s">
        <v>1784</v>
      </c>
      <c r="B80">
        <v>0</v>
      </c>
      <c r="C80">
        <v>1375</v>
      </c>
      <c r="D80">
        <v>2017</v>
      </c>
      <c r="E80">
        <v>0</v>
      </c>
      <c r="F80" t="s">
        <v>1784</v>
      </c>
      <c r="G80" t="s">
        <v>1785</v>
      </c>
      <c r="H80" t="s">
        <v>668</v>
      </c>
      <c r="I80" t="s">
        <v>669</v>
      </c>
      <c r="J80" t="s">
        <v>670</v>
      </c>
      <c r="K80" t="s">
        <v>671</v>
      </c>
      <c r="L80" t="s">
        <v>672</v>
      </c>
      <c r="M80" t="s">
        <v>673</v>
      </c>
      <c r="N80" s="1">
        <v>219992</v>
      </c>
      <c r="O80" t="s">
        <v>674</v>
      </c>
      <c r="P80" s="1">
        <v>1948</v>
      </c>
      <c r="Q80">
        <v>217</v>
      </c>
      <c r="R80">
        <v>260</v>
      </c>
      <c r="S80">
        <v>30</v>
      </c>
      <c r="T80" s="1">
        <v>7912</v>
      </c>
      <c r="U80">
        <v>199</v>
      </c>
      <c r="V80" s="1">
        <v>92260</v>
      </c>
      <c r="W80" s="1">
        <v>10931</v>
      </c>
      <c r="X80" s="1">
        <v>493471</v>
      </c>
      <c r="Y80" s="1">
        <v>203441</v>
      </c>
      <c r="Z80" t="s">
        <v>1786</v>
      </c>
      <c r="AA80" t="s">
        <v>1787</v>
      </c>
      <c r="AB80">
        <v>28112</v>
      </c>
      <c r="AC80">
        <v>4842</v>
      </c>
      <c r="AD80" t="s">
        <v>1786</v>
      </c>
      <c r="AE80" t="s">
        <v>1787</v>
      </c>
      <c r="AF80">
        <v>28112</v>
      </c>
      <c r="AG80">
        <v>3</v>
      </c>
      <c r="AH80" t="s">
        <v>1788</v>
      </c>
      <c r="AJ80" t="s">
        <v>35</v>
      </c>
      <c r="AK80" t="s">
        <v>1789</v>
      </c>
      <c r="AL80" t="s">
        <v>1790</v>
      </c>
      <c r="AM80" t="s">
        <v>1791</v>
      </c>
      <c r="AN80" t="s">
        <v>1792</v>
      </c>
      <c r="AO80" t="s">
        <v>1793</v>
      </c>
      <c r="AP80" t="s">
        <v>1794</v>
      </c>
      <c r="AQ80" t="s">
        <v>1795</v>
      </c>
      <c r="AR80" t="s">
        <v>1791</v>
      </c>
      <c r="AS80" t="s">
        <v>1792</v>
      </c>
      <c r="AT80" t="s">
        <v>1796</v>
      </c>
      <c r="AU80" t="s">
        <v>1797</v>
      </c>
      <c r="BC80">
        <v>1</v>
      </c>
      <c r="BD80">
        <v>3</v>
      </c>
      <c r="BE80">
        <v>0</v>
      </c>
      <c r="BF80">
        <v>0</v>
      </c>
      <c r="BG80">
        <v>4</v>
      </c>
      <c r="BI80" s="1">
        <v>10772</v>
      </c>
      <c r="BJ80">
        <v>5</v>
      </c>
      <c r="BK80">
        <v>4</v>
      </c>
      <c r="BL80">
        <v>9</v>
      </c>
      <c r="BM80">
        <v>44.53</v>
      </c>
      <c r="BN80">
        <v>53.53</v>
      </c>
      <c r="BO80" s="3">
        <v>9.3399999999999997E-2</v>
      </c>
      <c r="BP80" s="1">
        <v>3867</v>
      </c>
      <c r="BQ80" s="4">
        <v>81116</v>
      </c>
      <c r="BT80" s="1">
        <v>64620</v>
      </c>
      <c r="BU80" s="4">
        <v>41975</v>
      </c>
      <c r="BV80" s="4">
        <v>62963</v>
      </c>
      <c r="BW80" s="4">
        <v>46503</v>
      </c>
      <c r="BY80" s="4">
        <v>41975</v>
      </c>
      <c r="BZ80" s="4">
        <v>62963</v>
      </c>
      <c r="CA80" s="4">
        <v>43222</v>
      </c>
      <c r="CC80" s="4">
        <v>41975</v>
      </c>
      <c r="CD80" s="4">
        <v>62963</v>
      </c>
      <c r="CE80" s="1">
        <v>46455</v>
      </c>
      <c r="CG80" s="4">
        <v>41975</v>
      </c>
      <c r="CH80" s="4">
        <v>62963</v>
      </c>
      <c r="CI80" s="4">
        <v>43658</v>
      </c>
      <c r="CK80" s="4">
        <v>38425</v>
      </c>
      <c r="CL80" s="4">
        <v>57637</v>
      </c>
      <c r="CM80" s="1">
        <v>43172</v>
      </c>
      <c r="CO80" s="4">
        <v>40170</v>
      </c>
      <c r="CP80" s="4">
        <v>60255</v>
      </c>
      <c r="CQ80" s="4">
        <v>46144</v>
      </c>
      <c r="CR80" s="4">
        <v>41975</v>
      </c>
      <c r="CS80" s="4">
        <v>62963</v>
      </c>
      <c r="CT80" s="4">
        <v>43222</v>
      </c>
      <c r="CV80" s="4">
        <v>41975</v>
      </c>
      <c r="CW80" s="4">
        <v>62963</v>
      </c>
      <c r="CX80" s="4">
        <v>46455</v>
      </c>
      <c r="CZ80" s="4">
        <v>41975</v>
      </c>
      <c r="DA80" s="4">
        <v>62963</v>
      </c>
      <c r="DB80" s="4">
        <v>43658</v>
      </c>
      <c r="DD80" s="4">
        <v>38425</v>
      </c>
      <c r="DE80" s="4">
        <v>57637</v>
      </c>
      <c r="DF80" s="4">
        <v>43172</v>
      </c>
      <c r="DH80" s="4">
        <v>40170</v>
      </c>
      <c r="DI80" s="4">
        <v>60255</v>
      </c>
      <c r="DJ80" s="4">
        <v>46144</v>
      </c>
      <c r="DK80" s="4">
        <v>36741</v>
      </c>
      <c r="DL80" s="4">
        <v>55111</v>
      </c>
      <c r="DM80" s="4">
        <v>41618</v>
      </c>
      <c r="DO80" s="4">
        <v>30720</v>
      </c>
      <c r="DP80" s="4">
        <v>46081</v>
      </c>
      <c r="DQ80" s="4">
        <v>33570</v>
      </c>
      <c r="DS80" s="4">
        <v>40170</v>
      </c>
      <c r="DT80" s="4">
        <v>60255</v>
      </c>
      <c r="DU80" s="4">
        <v>45338</v>
      </c>
      <c r="DV80" s="4">
        <v>0</v>
      </c>
      <c r="DW80" s="4">
        <v>4278782</v>
      </c>
      <c r="DX80" s="4">
        <v>4278782</v>
      </c>
      <c r="DY80" s="4">
        <v>196444</v>
      </c>
      <c r="DZ80" s="4">
        <v>0</v>
      </c>
      <c r="EA80" s="4">
        <v>196444</v>
      </c>
      <c r="EB80" s="4">
        <v>27684</v>
      </c>
      <c r="EC80" s="4">
        <v>0</v>
      </c>
      <c r="ED80" s="4">
        <v>27684</v>
      </c>
      <c r="EE80" s="4">
        <v>179273</v>
      </c>
      <c r="EF80" s="4">
        <v>4682183</v>
      </c>
      <c r="EG80" s="4">
        <v>2190639</v>
      </c>
      <c r="EH80" s="4">
        <v>1141279</v>
      </c>
      <c r="EI80" s="4">
        <v>3331918</v>
      </c>
      <c r="EJ80" s="4">
        <v>286143</v>
      </c>
      <c r="EK80" s="4">
        <v>183252</v>
      </c>
      <c r="EL80" s="4">
        <v>15739</v>
      </c>
      <c r="EM80" s="4">
        <v>485134</v>
      </c>
      <c r="EN80" s="4">
        <v>834981</v>
      </c>
      <c r="EO80" s="4">
        <v>4652033</v>
      </c>
      <c r="EP80" s="4">
        <v>30150</v>
      </c>
      <c r="EQ80" s="3">
        <v>6.4000000000000003E-3</v>
      </c>
      <c r="ER80" s="4">
        <v>73040</v>
      </c>
      <c r="ES80" s="4">
        <v>0</v>
      </c>
      <c r="ET80" s="4">
        <v>0</v>
      </c>
      <c r="EU80" s="4">
        <v>0</v>
      </c>
      <c r="EV80" s="4">
        <v>73040</v>
      </c>
      <c r="EW80" s="4">
        <v>73040</v>
      </c>
      <c r="EX80" s="1">
        <v>24181</v>
      </c>
      <c r="EY80" s="1">
        <v>256041</v>
      </c>
      <c r="EZ80" s="1">
        <v>53444</v>
      </c>
      <c r="FA80" s="1">
        <v>10224</v>
      </c>
      <c r="FB80" s="1">
        <v>49205</v>
      </c>
      <c r="FC80" s="1">
        <v>36524</v>
      </c>
      <c r="FD80">
        <v>304</v>
      </c>
      <c r="FE80" s="1">
        <v>13987</v>
      </c>
      <c r="FF80" s="1">
        <v>89968</v>
      </c>
      <c r="FG80" s="1">
        <v>10528</v>
      </c>
      <c r="FH80" s="1">
        <v>63192</v>
      </c>
      <c r="FI80" s="1">
        <v>163688</v>
      </c>
      <c r="FJ80" s="1">
        <v>4700</v>
      </c>
      <c r="FK80">
        <v>217</v>
      </c>
      <c r="FM80" s="1">
        <v>163688</v>
      </c>
      <c r="FN80" s="1">
        <v>8358</v>
      </c>
      <c r="FO80" s="1">
        <v>11307</v>
      </c>
      <c r="FP80" s="1">
        <v>2100</v>
      </c>
      <c r="FQ80">
        <v>19</v>
      </c>
      <c r="FR80">
        <v>88</v>
      </c>
      <c r="FS80">
        <v>107</v>
      </c>
      <c r="FT80" s="1">
        <v>44141</v>
      </c>
      <c r="FU80" s="1">
        <v>3505</v>
      </c>
      <c r="FV80">
        <v>0</v>
      </c>
      <c r="FW80">
        <v>0</v>
      </c>
      <c r="FX80" s="1">
        <v>8544</v>
      </c>
      <c r="FY80" s="1">
        <v>1573</v>
      </c>
      <c r="FZ80">
        <v>322</v>
      </c>
      <c r="GA80">
        <v>0</v>
      </c>
      <c r="GE80">
        <v>0</v>
      </c>
      <c r="GJ80" s="1">
        <v>6434</v>
      </c>
      <c r="GK80" s="1">
        <v>1011</v>
      </c>
      <c r="GL80">
        <v>0</v>
      </c>
      <c r="GM80">
        <v>34</v>
      </c>
      <c r="GN80" s="1">
        <v>59119</v>
      </c>
      <c r="GO80" s="1">
        <v>6089</v>
      </c>
      <c r="GP80">
        <v>322</v>
      </c>
      <c r="GQ80">
        <v>34</v>
      </c>
      <c r="GR80">
        <v>45</v>
      </c>
      <c r="GT80" s="1">
        <v>178466</v>
      </c>
      <c r="GU80" s="1">
        <v>36364</v>
      </c>
      <c r="GV80" s="1">
        <v>315458</v>
      </c>
      <c r="GW80" s="1">
        <v>69589</v>
      </c>
      <c r="GX80">
        <v>476</v>
      </c>
      <c r="GY80" s="1">
        <v>47239</v>
      </c>
      <c r="GZ80" s="1">
        <v>248055</v>
      </c>
      <c r="HA80" s="1">
        <v>36840</v>
      </c>
      <c r="HB80" s="1">
        <v>362697</v>
      </c>
      <c r="HC80" s="1">
        <v>647592</v>
      </c>
      <c r="HD80" s="1">
        <v>4362</v>
      </c>
      <c r="HE80" s="1">
        <v>652909</v>
      </c>
      <c r="HF80" s="1">
        <v>39829</v>
      </c>
      <c r="HG80" s="1">
        <v>158644</v>
      </c>
      <c r="HH80">
        <v>955</v>
      </c>
      <c r="HI80">
        <v>586</v>
      </c>
      <c r="HJ80" s="1">
        <v>199059</v>
      </c>
      <c r="HK80" s="1">
        <v>851968</v>
      </c>
      <c r="HL80">
        <v>193</v>
      </c>
      <c r="HM80" s="1">
        <v>54470</v>
      </c>
      <c r="HN80" s="1">
        <v>54663</v>
      </c>
      <c r="HO80">
        <v>680</v>
      </c>
      <c r="HP80" s="1">
        <v>15802</v>
      </c>
      <c r="HQ80" s="1">
        <v>16482</v>
      </c>
      <c r="HR80">
        <v>0</v>
      </c>
      <c r="HS80">
        <v>0</v>
      </c>
      <c r="HT80">
        <v>0</v>
      </c>
      <c r="HU80" s="1">
        <v>1074</v>
      </c>
      <c r="HV80" s="1">
        <v>72219</v>
      </c>
      <c r="HW80" s="1">
        <v>56297</v>
      </c>
      <c r="HX80" s="1">
        <v>493730</v>
      </c>
      <c r="HY80" s="1">
        <v>550027</v>
      </c>
      <c r="HZ80" s="1">
        <v>622246</v>
      </c>
      <c r="IA80" s="1">
        <v>56311</v>
      </c>
      <c r="IB80" s="1">
        <v>214955</v>
      </c>
      <c r="IC80" s="1">
        <v>924187</v>
      </c>
      <c r="ID80" s="1">
        <v>924187</v>
      </c>
      <c r="IE80" s="1">
        <v>1474214</v>
      </c>
      <c r="IF80" s="1">
        <v>428121</v>
      </c>
      <c r="IG80">
        <v>548</v>
      </c>
      <c r="IJ80">
        <v>1</v>
      </c>
      <c r="IK80" s="3">
        <v>4.5400000000000003E-2</v>
      </c>
      <c r="IL80" s="3">
        <v>8.0000000000000004E-4</v>
      </c>
      <c r="IM80" s="3">
        <v>0.25609999999999999</v>
      </c>
      <c r="IN80" s="3">
        <v>0</v>
      </c>
      <c r="IO80" s="3">
        <v>0.23089999999999999</v>
      </c>
      <c r="IP80" s="3">
        <v>4.0000000000000002E-4</v>
      </c>
      <c r="IQ80" s="3">
        <v>0.63929999999999998</v>
      </c>
      <c r="IR80" s="3">
        <v>5.6399999999999999E-2</v>
      </c>
      <c r="IS80" s="3">
        <v>0.4632</v>
      </c>
      <c r="IT80" s="1">
        <v>70658</v>
      </c>
      <c r="IU80" s="1">
        <v>28199</v>
      </c>
      <c r="IV80" s="1">
        <v>98857</v>
      </c>
      <c r="IW80" s="3">
        <v>0.44940000000000002</v>
      </c>
      <c r="IX80" s="1">
        <v>641542</v>
      </c>
      <c r="IZ80">
        <v>375</v>
      </c>
      <c r="JA80">
        <v>109</v>
      </c>
      <c r="JB80" s="1">
        <v>1163</v>
      </c>
      <c r="JC80">
        <v>12</v>
      </c>
      <c r="JD80">
        <v>3</v>
      </c>
      <c r="JE80">
        <v>35</v>
      </c>
      <c r="JF80">
        <v>387</v>
      </c>
      <c r="JG80">
        <v>112</v>
      </c>
      <c r="JH80" s="1">
        <v>1198</v>
      </c>
      <c r="JI80" s="1">
        <v>1697</v>
      </c>
      <c r="JJ80" s="1">
        <v>1647</v>
      </c>
      <c r="JK80">
        <v>50</v>
      </c>
      <c r="JL80" s="1">
        <v>2306</v>
      </c>
      <c r="JM80">
        <v>845</v>
      </c>
      <c r="JN80" s="1">
        <v>29910</v>
      </c>
      <c r="JO80">
        <v>373</v>
      </c>
      <c r="JP80">
        <v>45</v>
      </c>
      <c r="JQ80" s="1">
        <v>1360</v>
      </c>
      <c r="JR80" s="1">
        <v>2679</v>
      </c>
      <c r="JS80">
        <v>890</v>
      </c>
      <c r="JT80" s="1">
        <v>31270</v>
      </c>
      <c r="JU80" s="1">
        <v>34839</v>
      </c>
      <c r="JV80" s="1">
        <v>33061</v>
      </c>
      <c r="JW80" s="1">
        <v>1778</v>
      </c>
      <c r="JX80">
        <v>20.53</v>
      </c>
      <c r="JY80">
        <v>6.92</v>
      </c>
      <c r="JZ80">
        <v>26.1</v>
      </c>
      <c r="KA80">
        <v>0.08</v>
      </c>
      <c r="KB80">
        <v>0.9</v>
      </c>
      <c r="KC80">
        <v>62</v>
      </c>
      <c r="KD80">
        <v>72</v>
      </c>
      <c r="KE80">
        <v>139</v>
      </c>
      <c r="KF80">
        <v>316</v>
      </c>
      <c r="KG80">
        <v>788</v>
      </c>
      <c r="KH80" s="1">
        <v>21062</v>
      </c>
      <c r="KK80">
        <v>103</v>
      </c>
      <c r="KL80" s="1">
        <v>2470</v>
      </c>
      <c r="KM80" s="1">
        <v>158631</v>
      </c>
      <c r="KN80" s="1">
        <v>49662</v>
      </c>
      <c r="KO80" s="1">
        <v>5998</v>
      </c>
      <c r="KQ80">
        <v>589</v>
      </c>
      <c r="KR80" s="1">
        <v>24812</v>
      </c>
      <c r="KS80">
        <v>0</v>
      </c>
      <c r="KT80">
        <v>0</v>
      </c>
      <c r="KU80">
        <v>76</v>
      </c>
      <c r="KV80">
        <v>160</v>
      </c>
      <c r="KW80" s="1">
        <v>77555</v>
      </c>
      <c r="KY80" s="1">
        <v>312754</v>
      </c>
      <c r="KZ80" s="1">
        <v>74176</v>
      </c>
      <c r="LC80" t="s">
        <v>1788</v>
      </c>
      <c r="LD80" t="s">
        <v>709</v>
      </c>
      <c r="LE80" t="s">
        <v>1786</v>
      </c>
      <c r="LF80" t="s">
        <v>1787</v>
      </c>
      <c r="LG80">
        <v>28112</v>
      </c>
      <c r="LH80">
        <v>4844</v>
      </c>
      <c r="LI80" t="s">
        <v>1786</v>
      </c>
      <c r="LJ80" t="s">
        <v>1787</v>
      </c>
      <c r="LK80">
        <v>28112</v>
      </c>
      <c r="LL80">
        <v>4844</v>
      </c>
      <c r="LM80" t="s">
        <v>1789</v>
      </c>
      <c r="LN80">
        <v>7042838184</v>
      </c>
      <c r="LO80">
        <v>7042820657</v>
      </c>
      <c r="LP80" s="1">
        <v>66148</v>
      </c>
      <c r="LQ80">
        <v>54.03</v>
      </c>
      <c r="LS80" s="1">
        <v>10772</v>
      </c>
      <c r="LT80">
        <v>208</v>
      </c>
      <c r="LW80">
        <v>2</v>
      </c>
      <c r="LX80" t="s">
        <v>1798</v>
      </c>
      <c r="LY80">
        <v>0</v>
      </c>
      <c r="LZ80" t="s">
        <v>691</v>
      </c>
      <c r="MA80">
        <v>96.53</v>
      </c>
      <c r="MB80">
        <v>93.32</v>
      </c>
    </row>
    <row r="81" spans="1:340" x14ac:dyDescent="0.25">
      <c r="A81" t="s">
        <v>1799</v>
      </c>
      <c r="B81">
        <v>0</v>
      </c>
      <c r="C81">
        <v>1375</v>
      </c>
      <c r="D81">
        <v>2017</v>
      </c>
      <c r="E81">
        <v>0</v>
      </c>
      <c r="F81" t="s">
        <v>1799</v>
      </c>
      <c r="G81" t="s">
        <v>1800</v>
      </c>
      <c r="H81" t="s">
        <v>668</v>
      </c>
      <c r="I81" t="s">
        <v>669</v>
      </c>
      <c r="J81" t="s">
        <v>725</v>
      </c>
      <c r="K81" t="s">
        <v>671</v>
      </c>
      <c r="L81" t="s">
        <v>672</v>
      </c>
      <c r="M81" t="s">
        <v>673</v>
      </c>
      <c r="N81" s="1">
        <v>1046791</v>
      </c>
      <c r="O81" t="s">
        <v>806</v>
      </c>
      <c r="P81" s="1">
        <v>29123</v>
      </c>
      <c r="Q81" s="1">
        <v>6009</v>
      </c>
      <c r="R81" s="1">
        <v>2111</v>
      </c>
      <c r="S81">
        <v>69</v>
      </c>
      <c r="T81" s="1">
        <v>97716</v>
      </c>
      <c r="U81" s="1">
        <v>1335</v>
      </c>
      <c r="V81" s="1">
        <v>1639097</v>
      </c>
      <c r="W81" s="1">
        <v>134622</v>
      </c>
      <c r="Z81" t="s">
        <v>1801</v>
      </c>
      <c r="AA81" t="s">
        <v>1802</v>
      </c>
      <c r="AB81">
        <v>27610</v>
      </c>
      <c r="AC81">
        <v>2913</v>
      </c>
      <c r="AD81" t="s">
        <v>1801</v>
      </c>
      <c r="AE81" t="s">
        <v>1802</v>
      </c>
      <c r="AF81">
        <v>27610</v>
      </c>
      <c r="AG81">
        <v>3</v>
      </c>
      <c r="AH81" t="s">
        <v>1803</v>
      </c>
      <c r="AJ81" t="s">
        <v>35</v>
      </c>
      <c r="AK81" t="s">
        <v>1804</v>
      </c>
      <c r="AL81" t="s">
        <v>1805</v>
      </c>
      <c r="AM81" t="s">
        <v>1806</v>
      </c>
      <c r="AN81" t="s">
        <v>1807</v>
      </c>
      <c r="AO81" t="s">
        <v>1808</v>
      </c>
      <c r="AP81" t="s">
        <v>1809</v>
      </c>
      <c r="AQ81" t="s">
        <v>1810</v>
      </c>
      <c r="AR81" t="s">
        <v>1811</v>
      </c>
      <c r="AS81" t="s">
        <v>1807</v>
      </c>
      <c r="AT81" t="s">
        <v>1812</v>
      </c>
      <c r="AU81" t="s">
        <v>1813</v>
      </c>
      <c r="BC81">
        <v>0</v>
      </c>
      <c r="BD81">
        <v>22</v>
      </c>
      <c r="BE81">
        <v>0</v>
      </c>
      <c r="BF81">
        <v>1</v>
      </c>
      <c r="BG81">
        <v>23</v>
      </c>
      <c r="BI81" s="1">
        <v>64707</v>
      </c>
      <c r="BJ81">
        <v>125</v>
      </c>
      <c r="BK81">
        <v>1</v>
      </c>
      <c r="BL81">
        <v>126</v>
      </c>
      <c r="BM81">
        <v>121</v>
      </c>
      <c r="BN81">
        <v>247</v>
      </c>
      <c r="BO81" s="3">
        <v>0.50609999999999999</v>
      </c>
      <c r="BP81" s="1">
        <v>21975</v>
      </c>
      <c r="BQ81" s="4">
        <v>128780</v>
      </c>
      <c r="BT81" s="1">
        <v>106387</v>
      </c>
      <c r="BU81" s="4">
        <v>51500</v>
      </c>
      <c r="BV81" s="4">
        <v>76586</v>
      </c>
      <c r="BW81" s="4">
        <v>61300</v>
      </c>
      <c r="BY81" s="4">
        <v>51500</v>
      </c>
      <c r="BZ81" s="4">
        <v>76586</v>
      </c>
      <c r="CA81" s="4">
        <v>61300</v>
      </c>
      <c r="CC81" s="4">
        <v>51500</v>
      </c>
      <c r="CD81" s="4">
        <v>76586</v>
      </c>
      <c r="CE81" s="1">
        <v>61300</v>
      </c>
      <c r="CO81" s="4">
        <v>77400</v>
      </c>
      <c r="CP81" s="4">
        <v>102700</v>
      </c>
      <c r="CQ81" s="4">
        <v>87000</v>
      </c>
      <c r="CR81" s="4">
        <v>42700</v>
      </c>
      <c r="CS81" s="4">
        <v>62400</v>
      </c>
      <c r="CT81" s="4">
        <v>47600</v>
      </c>
      <c r="CV81" s="4">
        <v>42700</v>
      </c>
      <c r="CW81" s="4">
        <v>62400</v>
      </c>
      <c r="CX81" s="4">
        <v>47600</v>
      </c>
      <c r="CZ81" s="4">
        <v>52000</v>
      </c>
      <c r="DA81" s="4">
        <v>62000</v>
      </c>
      <c r="DB81" s="4">
        <v>57000</v>
      </c>
      <c r="DO81" s="4">
        <v>29700</v>
      </c>
      <c r="DP81" s="4">
        <v>40300</v>
      </c>
      <c r="DQ81" s="4">
        <v>35400</v>
      </c>
      <c r="DS81" s="4">
        <v>50200</v>
      </c>
      <c r="DT81" s="4">
        <v>52600</v>
      </c>
      <c r="DU81" s="4">
        <v>51800</v>
      </c>
      <c r="DV81" s="4">
        <v>0</v>
      </c>
      <c r="DW81" s="4">
        <v>24746123</v>
      </c>
      <c r="DX81" s="4">
        <v>24746123</v>
      </c>
      <c r="DY81" s="4">
        <v>583152</v>
      </c>
      <c r="DZ81" s="4">
        <v>0</v>
      </c>
      <c r="EA81" s="4">
        <v>583152</v>
      </c>
      <c r="EB81" s="4">
        <v>0</v>
      </c>
      <c r="EC81" s="4">
        <v>0</v>
      </c>
      <c r="ED81" s="4">
        <v>0</v>
      </c>
      <c r="EE81" s="4">
        <v>0</v>
      </c>
      <c r="EF81" s="4">
        <v>25329275</v>
      </c>
      <c r="EG81" s="4">
        <v>11191518</v>
      </c>
      <c r="EH81" s="4">
        <v>3978252</v>
      </c>
      <c r="EI81" s="4">
        <v>15169770</v>
      </c>
      <c r="EJ81" s="4">
        <v>3878896</v>
      </c>
      <c r="EK81" s="4">
        <v>60000</v>
      </c>
      <c r="EL81" s="4">
        <v>95000</v>
      </c>
      <c r="EM81" s="4">
        <v>4033896</v>
      </c>
      <c r="EN81" s="4">
        <v>5542457</v>
      </c>
      <c r="EO81" s="4">
        <v>24746123</v>
      </c>
      <c r="EP81" s="4">
        <v>583152</v>
      </c>
      <c r="EQ81" s="3">
        <v>2.3E-2</v>
      </c>
      <c r="ER81" s="4">
        <v>26325788</v>
      </c>
      <c r="ES81" s="4">
        <v>0</v>
      </c>
      <c r="ET81" s="4">
        <v>0</v>
      </c>
      <c r="EU81" s="4">
        <v>0</v>
      </c>
      <c r="EV81" s="4">
        <v>26325788</v>
      </c>
      <c r="EW81" s="4">
        <v>26325788</v>
      </c>
      <c r="EX81" s="1">
        <v>46152</v>
      </c>
      <c r="EY81" s="1">
        <v>1519971</v>
      </c>
      <c r="EZ81" s="1">
        <v>370604</v>
      </c>
      <c r="FA81" s="1">
        <v>66924</v>
      </c>
      <c r="FB81" s="1">
        <v>492747</v>
      </c>
      <c r="FC81" s="1">
        <v>299436</v>
      </c>
      <c r="FD81" s="1">
        <v>2666</v>
      </c>
      <c r="FE81" s="1">
        <v>134649</v>
      </c>
      <c r="FF81" s="1">
        <v>670040</v>
      </c>
      <c r="FG81" s="1">
        <v>69590</v>
      </c>
      <c r="FH81" s="1">
        <v>627396</v>
      </c>
      <c r="FI81" s="1">
        <v>1367026</v>
      </c>
      <c r="FJ81">
        <v>0</v>
      </c>
      <c r="FK81" s="1">
        <v>1207</v>
      </c>
      <c r="FM81" s="1">
        <v>1367026</v>
      </c>
      <c r="FN81" s="1">
        <v>29187</v>
      </c>
      <c r="FO81">
        <v>0</v>
      </c>
      <c r="FP81" s="1">
        <v>18169</v>
      </c>
      <c r="FQ81">
        <v>7</v>
      </c>
      <c r="FR81">
        <v>88</v>
      </c>
      <c r="FS81">
        <v>95</v>
      </c>
      <c r="FT81" s="1">
        <v>44141</v>
      </c>
      <c r="FU81" s="1">
        <v>3505</v>
      </c>
      <c r="FV81">
        <v>0</v>
      </c>
      <c r="FW81">
        <v>0</v>
      </c>
      <c r="FX81" s="1">
        <v>8544</v>
      </c>
      <c r="FY81" s="1">
        <v>1573</v>
      </c>
      <c r="FZ81">
        <v>322</v>
      </c>
      <c r="GA81">
        <v>0</v>
      </c>
      <c r="GE81">
        <v>0</v>
      </c>
      <c r="GJ81" s="1">
        <v>32742</v>
      </c>
      <c r="GK81" s="1">
        <v>13460</v>
      </c>
      <c r="GL81">
        <v>0</v>
      </c>
      <c r="GM81">
        <v>0</v>
      </c>
      <c r="GN81" s="1">
        <v>85427</v>
      </c>
      <c r="GO81" s="1">
        <v>18538</v>
      </c>
      <c r="GP81">
        <v>322</v>
      </c>
      <c r="GQ81">
        <v>0</v>
      </c>
      <c r="GR81">
        <v>47</v>
      </c>
      <c r="GT81" s="1">
        <v>1941980</v>
      </c>
      <c r="GU81" s="1">
        <v>419166</v>
      </c>
      <c r="GV81" s="1">
        <v>5059306</v>
      </c>
      <c r="GW81" s="1">
        <v>1321920</v>
      </c>
      <c r="GX81" s="1">
        <v>7346</v>
      </c>
      <c r="GY81" s="1">
        <v>949260</v>
      </c>
      <c r="GZ81" s="1">
        <v>3263900</v>
      </c>
      <c r="HA81" s="1">
        <v>426512</v>
      </c>
      <c r="HB81" s="1">
        <v>6008566</v>
      </c>
      <c r="HC81" s="1">
        <v>9698978</v>
      </c>
      <c r="HD81" s="1">
        <v>51674</v>
      </c>
      <c r="HE81" s="1">
        <v>9750652</v>
      </c>
      <c r="HF81" s="1">
        <v>273411</v>
      </c>
      <c r="HG81">
        <v>0</v>
      </c>
      <c r="HH81">
        <v>0</v>
      </c>
      <c r="HI81">
        <v>0</v>
      </c>
      <c r="HJ81" s="1">
        <v>273411</v>
      </c>
      <c r="HK81" s="1">
        <v>10024063</v>
      </c>
      <c r="HL81" s="1">
        <v>1334</v>
      </c>
      <c r="HM81" s="1">
        <v>549140</v>
      </c>
      <c r="HN81" s="1">
        <v>550474</v>
      </c>
      <c r="HO81">
        <v>702</v>
      </c>
      <c r="HP81" s="1">
        <v>302339</v>
      </c>
      <c r="HQ81" s="1">
        <v>303041</v>
      </c>
      <c r="HR81">
        <v>0</v>
      </c>
      <c r="HS81">
        <v>169</v>
      </c>
      <c r="HT81">
        <v>169</v>
      </c>
      <c r="HU81">
        <v>0</v>
      </c>
      <c r="HV81" s="1">
        <v>853684</v>
      </c>
      <c r="HW81" s="1">
        <v>571883</v>
      </c>
      <c r="HY81" s="1">
        <v>571883</v>
      </c>
      <c r="HZ81" s="1">
        <v>1425567</v>
      </c>
      <c r="IA81" s="1">
        <v>576452</v>
      </c>
      <c r="IB81" s="1">
        <v>576621</v>
      </c>
      <c r="IC81" s="1">
        <v>10877747</v>
      </c>
      <c r="ID81" s="1">
        <v>10877747</v>
      </c>
      <c r="IE81" s="1">
        <v>11449630</v>
      </c>
      <c r="IF81" s="1">
        <v>6541957</v>
      </c>
      <c r="IG81">
        <v>-1</v>
      </c>
      <c r="IK81" s="3">
        <v>2.0000000000000001E-4</v>
      </c>
      <c r="IL81" s="3">
        <v>8.0000000000000004E-4</v>
      </c>
      <c r="IM81" s="3">
        <v>6.8599999999999994E-2</v>
      </c>
      <c r="IN81" s="3">
        <v>0</v>
      </c>
      <c r="IO81" s="3">
        <v>5.62E-2</v>
      </c>
      <c r="IP81" s="3">
        <v>1E-4</v>
      </c>
      <c r="IQ81" s="3">
        <v>0.89939999999999998</v>
      </c>
      <c r="IR81" s="3">
        <v>3.1399999999999997E-2</v>
      </c>
      <c r="IS81" s="3">
        <v>0.60140000000000005</v>
      </c>
      <c r="IT81" s="1">
        <v>342807</v>
      </c>
      <c r="IU81" s="1">
        <v>76290</v>
      </c>
      <c r="IV81" s="1">
        <v>419097</v>
      </c>
      <c r="IW81" s="3">
        <v>0.40039999999999998</v>
      </c>
      <c r="IX81" s="1">
        <v>3376255</v>
      </c>
      <c r="IZ81" s="1">
        <v>1030</v>
      </c>
      <c r="JA81">
        <v>478</v>
      </c>
      <c r="JB81" s="1">
        <v>8983</v>
      </c>
      <c r="JC81">
        <v>4</v>
      </c>
      <c r="JD81">
        <v>1</v>
      </c>
      <c r="JE81">
        <v>382</v>
      </c>
      <c r="JF81" s="1">
        <v>1034</v>
      </c>
      <c r="JG81">
        <v>479</v>
      </c>
      <c r="JH81" s="1">
        <v>9365</v>
      </c>
      <c r="JI81" s="1">
        <v>10878</v>
      </c>
      <c r="JJ81" s="1">
        <v>10491</v>
      </c>
      <c r="JK81">
        <v>387</v>
      </c>
      <c r="JL81" s="1">
        <v>22163</v>
      </c>
      <c r="JM81" s="1">
        <v>16606</v>
      </c>
      <c r="JN81" s="1">
        <v>349881</v>
      </c>
      <c r="JO81">
        <v>31</v>
      </c>
      <c r="JP81">
        <v>7</v>
      </c>
      <c r="JQ81" s="1">
        <v>8633</v>
      </c>
      <c r="JR81" s="1">
        <v>22194</v>
      </c>
      <c r="JS81" s="1">
        <v>16613</v>
      </c>
      <c r="JT81" s="1">
        <v>358514</v>
      </c>
      <c r="JU81" s="1">
        <v>397321</v>
      </c>
      <c r="JV81" s="1">
        <v>388650</v>
      </c>
      <c r="JW81" s="1">
        <v>8671</v>
      </c>
      <c r="JX81">
        <v>36.53</v>
      </c>
      <c r="JY81">
        <v>21.46</v>
      </c>
      <c r="JZ81">
        <v>38.28</v>
      </c>
      <c r="KA81">
        <v>0.06</v>
      </c>
      <c r="KB81">
        <v>0.9</v>
      </c>
      <c r="KC81">
        <v>94</v>
      </c>
      <c r="KD81" s="1">
        <v>1319</v>
      </c>
      <c r="KE81">
        <v>15</v>
      </c>
      <c r="KF81">
        <v>213</v>
      </c>
      <c r="KG81" s="1">
        <v>7375</v>
      </c>
      <c r="KH81" s="1">
        <v>292600</v>
      </c>
      <c r="KI81">
        <v>0</v>
      </c>
      <c r="KJ81">
        <v>0</v>
      </c>
      <c r="KK81" s="1">
        <v>1178</v>
      </c>
      <c r="KL81" s="1">
        <v>26008</v>
      </c>
      <c r="KM81" s="1">
        <v>391253</v>
      </c>
      <c r="KN81" s="1">
        <v>89215</v>
      </c>
      <c r="KO81" s="1">
        <v>18713</v>
      </c>
      <c r="KQ81" s="1">
        <v>14557</v>
      </c>
      <c r="KR81" s="1">
        <v>62633</v>
      </c>
      <c r="KS81" s="1">
        <v>1044</v>
      </c>
      <c r="KT81" s="1">
        <v>21907</v>
      </c>
      <c r="KU81">
        <v>383</v>
      </c>
      <c r="KV81">
        <v>562</v>
      </c>
      <c r="KW81" s="1">
        <v>565207</v>
      </c>
      <c r="KY81" s="1">
        <v>4928588</v>
      </c>
      <c r="KZ81" s="1">
        <v>1248674</v>
      </c>
      <c r="LP81" s="1">
        <v>290015</v>
      </c>
      <c r="LQ81">
        <v>215</v>
      </c>
      <c r="LS81" s="1">
        <v>64707</v>
      </c>
      <c r="LT81" s="1">
        <v>1079</v>
      </c>
      <c r="LY81">
        <v>0</v>
      </c>
      <c r="MA81">
        <v>0</v>
      </c>
      <c r="MB81">
        <v>0</v>
      </c>
    </row>
    <row r="82" spans="1:340" x14ac:dyDescent="0.25">
      <c r="A82" t="s">
        <v>1814</v>
      </c>
      <c r="B82">
        <v>0</v>
      </c>
      <c r="C82">
        <v>1375</v>
      </c>
      <c r="D82">
        <v>2017</v>
      </c>
      <c r="E82">
        <v>0</v>
      </c>
      <c r="F82" t="s">
        <v>1814</v>
      </c>
      <c r="G82" t="s">
        <v>1815</v>
      </c>
      <c r="H82" t="s">
        <v>668</v>
      </c>
      <c r="I82" t="s">
        <v>669</v>
      </c>
      <c r="J82" t="s">
        <v>870</v>
      </c>
      <c r="K82" t="s">
        <v>671</v>
      </c>
      <c r="L82" t="s">
        <v>672</v>
      </c>
      <c r="M82" t="s">
        <v>673</v>
      </c>
      <c r="N82" s="1">
        <v>20473</v>
      </c>
      <c r="O82" t="s">
        <v>674</v>
      </c>
      <c r="P82">
        <v>252</v>
      </c>
      <c r="Q82">
        <v>53</v>
      </c>
      <c r="R82">
        <v>17</v>
      </c>
      <c r="S82">
        <v>8</v>
      </c>
      <c r="T82">
        <v>597</v>
      </c>
      <c r="U82">
        <v>157</v>
      </c>
      <c r="V82" s="1">
        <v>3924</v>
      </c>
      <c r="Z82" t="s">
        <v>1816</v>
      </c>
      <c r="AA82" t="s">
        <v>1817</v>
      </c>
      <c r="AB82">
        <v>27589</v>
      </c>
      <c r="AD82" t="s">
        <v>1816</v>
      </c>
      <c r="AE82" t="s">
        <v>1817</v>
      </c>
      <c r="AF82">
        <v>27589</v>
      </c>
      <c r="AG82">
        <v>1</v>
      </c>
      <c r="AH82" t="s">
        <v>1818</v>
      </c>
      <c r="AJ82" t="s">
        <v>35</v>
      </c>
      <c r="AK82" t="s">
        <v>1819</v>
      </c>
      <c r="AL82" t="s">
        <v>1820</v>
      </c>
      <c r="AM82" t="s">
        <v>1821</v>
      </c>
      <c r="AN82" t="s">
        <v>1822</v>
      </c>
      <c r="AO82" t="s">
        <v>1823</v>
      </c>
      <c r="AP82" t="s">
        <v>1820</v>
      </c>
      <c r="AQ82" t="s">
        <v>706</v>
      </c>
      <c r="AR82" t="s">
        <v>1821</v>
      </c>
      <c r="AS82" t="s">
        <v>1822</v>
      </c>
      <c r="AT82" t="s">
        <v>1823</v>
      </c>
      <c r="AU82" t="s">
        <v>1824</v>
      </c>
      <c r="BC82">
        <v>1</v>
      </c>
      <c r="BD82">
        <v>0</v>
      </c>
      <c r="BE82">
        <v>0</v>
      </c>
      <c r="BF82">
        <v>1</v>
      </c>
      <c r="BG82">
        <v>2</v>
      </c>
      <c r="BI82" s="1">
        <v>2704</v>
      </c>
      <c r="BJ82">
        <v>1</v>
      </c>
      <c r="BK82">
        <v>0</v>
      </c>
      <c r="BL82">
        <v>1</v>
      </c>
      <c r="BM82">
        <v>7</v>
      </c>
      <c r="BN82">
        <v>8</v>
      </c>
      <c r="BO82" s="3">
        <v>0.125</v>
      </c>
      <c r="BP82" s="1">
        <v>1063</v>
      </c>
      <c r="BQ82" s="4">
        <v>63056</v>
      </c>
      <c r="DK82" s="4">
        <v>28380</v>
      </c>
      <c r="DL82" s="4">
        <v>45408</v>
      </c>
      <c r="DM82" s="4">
        <v>33405</v>
      </c>
      <c r="DO82" s="4">
        <v>24516</v>
      </c>
      <c r="DP82" s="4">
        <v>39225</v>
      </c>
      <c r="DQ82" s="4">
        <v>26022</v>
      </c>
      <c r="DV82" s="4">
        <v>0</v>
      </c>
      <c r="DW82" s="4">
        <v>398242</v>
      </c>
      <c r="DX82" s="4">
        <v>398242</v>
      </c>
      <c r="DY82" s="4">
        <v>82116</v>
      </c>
      <c r="DZ82" s="4">
        <v>0</v>
      </c>
      <c r="EA82" s="4">
        <v>82116</v>
      </c>
      <c r="EB82" s="4">
        <v>18995</v>
      </c>
      <c r="EC82" s="4">
        <v>0</v>
      </c>
      <c r="ED82" s="4">
        <v>18995</v>
      </c>
      <c r="EE82" s="4">
        <v>11826</v>
      </c>
      <c r="EF82" s="4">
        <v>511179</v>
      </c>
      <c r="EG82" s="4">
        <v>251187</v>
      </c>
      <c r="EH82" s="4">
        <v>97696</v>
      </c>
      <c r="EI82" s="4">
        <v>348883</v>
      </c>
      <c r="EJ82" s="4">
        <v>17670</v>
      </c>
      <c r="EK82" s="4">
        <v>0</v>
      </c>
      <c r="EL82" s="4">
        <v>1505</v>
      </c>
      <c r="EM82" s="4">
        <v>19175</v>
      </c>
      <c r="EN82" s="4">
        <v>100496</v>
      </c>
      <c r="EO82" s="4">
        <v>468554</v>
      </c>
      <c r="EP82" s="4">
        <v>42625</v>
      </c>
      <c r="EQ82" s="3">
        <v>8.3400000000000002E-2</v>
      </c>
      <c r="ER82" s="4">
        <v>0</v>
      </c>
      <c r="ES82" s="4">
        <v>0</v>
      </c>
      <c r="ET82" s="4">
        <v>0</v>
      </c>
      <c r="EU82" s="4">
        <v>0</v>
      </c>
      <c r="EV82" s="4">
        <v>0</v>
      </c>
      <c r="EW82" s="4">
        <v>0</v>
      </c>
      <c r="EX82" s="1">
        <v>8025</v>
      </c>
      <c r="EY82" s="1">
        <v>94455</v>
      </c>
      <c r="EZ82" s="1">
        <v>11153</v>
      </c>
      <c r="FB82" s="1">
        <v>5042</v>
      </c>
      <c r="FC82" s="1">
        <v>12032</v>
      </c>
      <c r="FE82" s="1">
        <v>3218</v>
      </c>
      <c r="FF82" s="1">
        <v>23185</v>
      </c>
      <c r="FH82" s="1">
        <v>8260</v>
      </c>
      <c r="FI82" s="1">
        <v>31445</v>
      </c>
      <c r="FJ82">
        <v>0</v>
      </c>
      <c r="FK82">
        <v>132</v>
      </c>
      <c r="FM82" s="1">
        <v>31445</v>
      </c>
      <c r="FN82" s="1">
        <v>1406</v>
      </c>
      <c r="FO82" s="1">
        <v>3114</v>
      </c>
      <c r="FP82">
        <v>185</v>
      </c>
      <c r="FQ82">
        <v>0</v>
      </c>
      <c r="FR82">
        <v>88</v>
      </c>
      <c r="FS82">
        <v>88</v>
      </c>
      <c r="FT82" s="1">
        <v>44141</v>
      </c>
      <c r="FU82" s="1">
        <v>3505</v>
      </c>
      <c r="FV82">
        <v>0</v>
      </c>
      <c r="FW82">
        <v>0</v>
      </c>
      <c r="FX82" s="1">
        <v>8544</v>
      </c>
      <c r="FY82" s="1">
        <v>1573</v>
      </c>
      <c r="FZ82">
        <v>322</v>
      </c>
      <c r="GA82">
        <v>0</v>
      </c>
      <c r="GJ82">
        <v>0</v>
      </c>
      <c r="GK82">
        <v>0</v>
      </c>
      <c r="GL82">
        <v>0</v>
      </c>
      <c r="GM82">
        <v>0</v>
      </c>
      <c r="GN82" s="1">
        <v>52685</v>
      </c>
      <c r="GO82" s="1">
        <v>5078</v>
      </c>
      <c r="GP82">
        <v>322</v>
      </c>
      <c r="GQ82">
        <v>0</v>
      </c>
      <c r="GR82">
        <v>37</v>
      </c>
      <c r="GT82" s="1">
        <v>13158</v>
      </c>
      <c r="GU82" s="1">
        <v>1471</v>
      </c>
      <c r="GV82" s="1">
        <v>11378</v>
      </c>
      <c r="GW82" s="1">
        <v>5959</v>
      </c>
      <c r="GY82" s="1">
        <v>2211</v>
      </c>
      <c r="GZ82" s="1">
        <v>19117</v>
      </c>
      <c r="HA82" s="1">
        <v>1471</v>
      </c>
      <c r="HB82" s="1">
        <v>13589</v>
      </c>
      <c r="HC82" s="1">
        <v>34177</v>
      </c>
      <c r="HD82" s="1">
        <v>3767</v>
      </c>
      <c r="HE82" s="1">
        <v>37944</v>
      </c>
      <c r="HF82" s="1">
        <v>2285</v>
      </c>
      <c r="HG82" s="1">
        <v>7747</v>
      </c>
      <c r="HI82" s="1">
        <v>2927</v>
      </c>
      <c r="HJ82" s="1">
        <v>12959</v>
      </c>
      <c r="HK82" s="1">
        <v>50903</v>
      </c>
      <c r="HL82">
        <v>51</v>
      </c>
      <c r="HM82">
        <v>0</v>
      </c>
      <c r="HN82">
        <v>51</v>
      </c>
      <c r="HO82">
        <v>122</v>
      </c>
      <c r="HP82">
        <v>0</v>
      </c>
      <c r="HQ82">
        <v>122</v>
      </c>
      <c r="HR82">
        <v>0</v>
      </c>
      <c r="HS82">
        <v>0</v>
      </c>
      <c r="HT82">
        <v>0</v>
      </c>
      <c r="HU82">
        <v>0</v>
      </c>
      <c r="HV82">
        <v>173</v>
      </c>
      <c r="HW82">
        <v>818</v>
      </c>
      <c r="HX82">
        <v>0</v>
      </c>
      <c r="HY82">
        <v>818</v>
      </c>
      <c r="HZ82">
        <v>991</v>
      </c>
      <c r="IA82" s="1">
        <v>2407</v>
      </c>
      <c r="IB82" s="1">
        <v>10154</v>
      </c>
      <c r="IC82" s="1">
        <v>51076</v>
      </c>
      <c r="ID82" s="1">
        <v>51076</v>
      </c>
      <c r="IE82" s="1">
        <v>51894</v>
      </c>
      <c r="IF82" s="1">
        <v>13589</v>
      </c>
      <c r="IG82">
        <v>267</v>
      </c>
      <c r="IJ82">
        <v>1</v>
      </c>
      <c r="IK82" s="3">
        <v>3.6400000000000002E-2</v>
      </c>
      <c r="IL82" s="3">
        <v>1.4E-3</v>
      </c>
      <c r="IM82" s="3">
        <v>0.6149</v>
      </c>
      <c r="IN82" s="3">
        <v>0</v>
      </c>
      <c r="IO82" s="3">
        <v>0.55779999999999996</v>
      </c>
      <c r="IP82" s="3">
        <v>8.9999999999999998E-4</v>
      </c>
      <c r="IQ82" s="3">
        <v>0.33289999999999997</v>
      </c>
      <c r="IR82" s="3">
        <v>6.8599999999999994E-2</v>
      </c>
      <c r="IS82" s="3">
        <v>0.2661</v>
      </c>
      <c r="IT82" s="1">
        <v>7916</v>
      </c>
      <c r="IU82" s="1">
        <v>3086</v>
      </c>
      <c r="IV82" s="1">
        <v>11002</v>
      </c>
      <c r="IW82" s="3">
        <v>0.53739999999999999</v>
      </c>
      <c r="IX82" s="1">
        <v>59916</v>
      </c>
      <c r="IZ82">
        <v>117</v>
      </c>
      <c r="JA82">
        <v>17</v>
      </c>
      <c r="JB82">
        <v>71</v>
      </c>
      <c r="JC82">
        <v>14</v>
      </c>
      <c r="JD82">
        <v>1</v>
      </c>
      <c r="JE82">
        <v>11</v>
      </c>
      <c r="JF82">
        <v>131</v>
      </c>
      <c r="JG82">
        <v>18</v>
      </c>
      <c r="JH82">
        <v>82</v>
      </c>
      <c r="JI82">
        <v>231</v>
      </c>
      <c r="JJ82">
        <v>205</v>
      </c>
      <c r="JK82">
        <v>26</v>
      </c>
      <c r="JL82">
        <v>832</v>
      </c>
      <c r="JM82">
        <v>271</v>
      </c>
      <c r="JN82" s="1">
        <v>1121</v>
      </c>
      <c r="JO82">
        <v>469</v>
      </c>
      <c r="JP82">
        <v>107</v>
      </c>
      <c r="JQ82">
        <v>395</v>
      </c>
      <c r="JR82" s="1">
        <v>1301</v>
      </c>
      <c r="JS82">
        <v>378</v>
      </c>
      <c r="JT82" s="1">
        <v>1516</v>
      </c>
      <c r="JU82" s="1">
        <v>3195</v>
      </c>
      <c r="JV82" s="1">
        <v>2224</v>
      </c>
      <c r="JW82">
        <v>971</v>
      </c>
      <c r="JX82">
        <v>13.83</v>
      </c>
      <c r="JY82">
        <v>9.93</v>
      </c>
      <c r="JZ82">
        <v>18.489999999999998</v>
      </c>
      <c r="KA82">
        <v>0.41</v>
      </c>
      <c r="KB82">
        <v>0.47</v>
      </c>
      <c r="KC82">
        <v>12</v>
      </c>
      <c r="KD82">
        <v>36</v>
      </c>
      <c r="KE82">
        <v>24</v>
      </c>
      <c r="KF82">
        <v>63</v>
      </c>
      <c r="KG82">
        <v>82</v>
      </c>
      <c r="KH82" s="1">
        <v>1516</v>
      </c>
      <c r="KI82">
        <v>12</v>
      </c>
      <c r="KJ82">
        <v>120</v>
      </c>
      <c r="KK82">
        <v>1</v>
      </c>
      <c r="KL82">
        <v>22</v>
      </c>
      <c r="KM82" s="1">
        <v>30416</v>
      </c>
      <c r="KN82" s="1">
        <v>16249</v>
      </c>
      <c r="KO82">
        <v>597</v>
      </c>
      <c r="KQ82">
        <v>312</v>
      </c>
      <c r="KR82" s="1">
        <v>5720</v>
      </c>
      <c r="KS82">
        <v>36</v>
      </c>
      <c r="KT82">
        <v>74</v>
      </c>
      <c r="KU82">
        <v>19</v>
      </c>
      <c r="KV82">
        <v>29</v>
      </c>
      <c r="KW82" s="1">
        <v>21612</v>
      </c>
      <c r="KY82" s="1">
        <v>165251</v>
      </c>
      <c r="LC82" t="s">
        <v>1818</v>
      </c>
      <c r="LD82" t="s">
        <v>709</v>
      </c>
      <c r="LE82" t="s">
        <v>1816</v>
      </c>
      <c r="LF82" t="s">
        <v>1817</v>
      </c>
      <c r="LG82">
        <v>27589</v>
      </c>
      <c r="LH82">
        <v>1929</v>
      </c>
      <c r="LI82" t="s">
        <v>1816</v>
      </c>
      <c r="LJ82" t="s">
        <v>1817</v>
      </c>
      <c r="LK82">
        <v>27589</v>
      </c>
      <c r="LL82">
        <v>1929</v>
      </c>
      <c r="LM82" t="s">
        <v>1819</v>
      </c>
      <c r="LN82">
        <v>2522574990</v>
      </c>
      <c r="LO82">
        <v>2522574089</v>
      </c>
      <c r="LP82" s="1">
        <v>13770</v>
      </c>
      <c r="LQ82">
        <v>8</v>
      </c>
      <c r="LS82" s="1">
        <v>2704</v>
      </c>
      <c r="LT82">
        <v>52</v>
      </c>
      <c r="LW82">
        <v>2</v>
      </c>
      <c r="LX82" t="s">
        <v>1825</v>
      </c>
      <c r="LY82">
        <v>0</v>
      </c>
      <c r="LZ82" t="s">
        <v>691</v>
      </c>
      <c r="MA82">
        <v>23.43</v>
      </c>
      <c r="MB82">
        <v>21.08</v>
      </c>
    </row>
    <row r="83" spans="1:340" x14ac:dyDescent="0.25">
      <c r="A83" t="s">
        <v>1826</v>
      </c>
      <c r="B83">
        <v>0</v>
      </c>
      <c r="C83">
        <v>1375</v>
      </c>
      <c r="D83">
        <v>2017</v>
      </c>
      <c r="E83">
        <v>0</v>
      </c>
      <c r="F83" t="s">
        <v>1826</v>
      </c>
      <c r="G83" t="s">
        <v>1827</v>
      </c>
      <c r="H83" t="s">
        <v>668</v>
      </c>
      <c r="I83" t="s">
        <v>669</v>
      </c>
      <c r="J83" t="s">
        <v>670</v>
      </c>
      <c r="K83" t="s">
        <v>671</v>
      </c>
      <c r="L83" t="s">
        <v>672</v>
      </c>
      <c r="M83" t="s">
        <v>673</v>
      </c>
      <c r="N83" s="1">
        <v>124984</v>
      </c>
      <c r="O83" t="s">
        <v>674</v>
      </c>
      <c r="P83">
        <v>798</v>
      </c>
      <c r="Q83">
        <v>60</v>
      </c>
      <c r="R83">
        <v>79</v>
      </c>
      <c r="S83">
        <v>22</v>
      </c>
      <c r="T83" s="1">
        <v>3146</v>
      </c>
      <c r="U83">
        <v>503</v>
      </c>
      <c r="V83" s="1">
        <v>25327</v>
      </c>
      <c r="W83" s="1">
        <v>3184</v>
      </c>
      <c r="X83" s="1">
        <v>177220</v>
      </c>
      <c r="Z83" t="s">
        <v>1828</v>
      </c>
      <c r="AA83" t="s">
        <v>1829</v>
      </c>
      <c r="AB83">
        <v>27530</v>
      </c>
      <c r="AC83">
        <v>3807</v>
      </c>
      <c r="AD83" t="s">
        <v>1828</v>
      </c>
      <c r="AE83" t="s">
        <v>1829</v>
      </c>
      <c r="AF83">
        <v>27530</v>
      </c>
      <c r="AG83">
        <v>2</v>
      </c>
      <c r="AH83" t="s">
        <v>1830</v>
      </c>
      <c r="AJ83" t="s">
        <v>35</v>
      </c>
      <c r="AK83" t="s">
        <v>1831</v>
      </c>
      <c r="AL83" t="s">
        <v>1832</v>
      </c>
      <c r="AM83" t="s">
        <v>1833</v>
      </c>
      <c r="AN83" t="s">
        <v>1834</v>
      </c>
      <c r="AO83" t="s">
        <v>1835</v>
      </c>
      <c r="AP83" t="s">
        <v>1836</v>
      </c>
      <c r="AQ83" t="s">
        <v>892</v>
      </c>
      <c r="AR83" t="s">
        <v>1837</v>
      </c>
      <c r="AS83" t="s">
        <v>1834</v>
      </c>
      <c r="AT83" t="s">
        <v>1838</v>
      </c>
      <c r="AU83" t="s">
        <v>1839</v>
      </c>
      <c r="BC83">
        <v>1</v>
      </c>
      <c r="BD83">
        <v>3</v>
      </c>
      <c r="BE83">
        <v>0</v>
      </c>
      <c r="BF83">
        <v>1</v>
      </c>
      <c r="BG83">
        <v>5</v>
      </c>
      <c r="BI83" s="1">
        <v>8128</v>
      </c>
      <c r="BJ83">
        <v>9</v>
      </c>
      <c r="BK83">
        <v>5.3</v>
      </c>
      <c r="BL83">
        <v>14.3</v>
      </c>
      <c r="BM83">
        <v>22.23</v>
      </c>
      <c r="BN83">
        <v>36.53</v>
      </c>
      <c r="BO83" s="3">
        <v>0.24640000000000001</v>
      </c>
      <c r="BP83" s="1">
        <v>1188</v>
      </c>
      <c r="BQ83" s="4">
        <v>83841</v>
      </c>
      <c r="BT83" s="1">
        <v>55233</v>
      </c>
      <c r="BU83" s="4">
        <v>28766</v>
      </c>
      <c r="BV83" s="4">
        <v>57984</v>
      </c>
      <c r="BW83" s="4">
        <v>39383</v>
      </c>
      <c r="CC83" s="4">
        <v>43034</v>
      </c>
      <c r="CD83" s="4">
        <v>67129</v>
      </c>
      <c r="CE83" s="1">
        <v>52000</v>
      </c>
      <c r="CG83" s="4">
        <v>37187</v>
      </c>
      <c r="CH83" s="4">
        <v>57984</v>
      </c>
      <c r="CI83" s="4">
        <v>43359</v>
      </c>
      <c r="CK83" s="4">
        <v>40987</v>
      </c>
      <c r="CL83" s="4">
        <v>63935</v>
      </c>
      <c r="CM83" s="1">
        <v>40000</v>
      </c>
      <c r="CR83" s="4">
        <v>37187</v>
      </c>
      <c r="CS83" s="4">
        <v>57984</v>
      </c>
      <c r="CT83" s="4">
        <v>38055</v>
      </c>
      <c r="CV83" s="4">
        <v>37187</v>
      </c>
      <c r="CW83" s="4">
        <v>57984</v>
      </c>
      <c r="CX83" s="4">
        <v>39200</v>
      </c>
      <c r="DK83" s="4">
        <v>29128</v>
      </c>
      <c r="DL83" s="4">
        <v>43284</v>
      </c>
      <c r="DM83" s="4">
        <v>30587</v>
      </c>
      <c r="DO83" s="4">
        <v>20880</v>
      </c>
      <c r="DP83" s="4">
        <v>39254</v>
      </c>
      <c r="DQ83" s="4">
        <v>24413</v>
      </c>
      <c r="DS83" s="4">
        <v>37182</v>
      </c>
      <c r="DT83" s="4">
        <v>57984</v>
      </c>
      <c r="DU83" s="4">
        <v>42262</v>
      </c>
      <c r="DV83" s="4">
        <v>0</v>
      </c>
      <c r="DW83" s="4">
        <v>1676812</v>
      </c>
      <c r="DX83" s="4">
        <v>1676812</v>
      </c>
      <c r="DY83" s="4">
        <v>163051</v>
      </c>
      <c r="DZ83" s="4">
        <v>115559</v>
      </c>
      <c r="EA83" s="4">
        <v>278610</v>
      </c>
      <c r="EB83" s="4">
        <v>44177</v>
      </c>
      <c r="EC83" s="4">
        <v>0</v>
      </c>
      <c r="ED83" s="4">
        <v>44177</v>
      </c>
      <c r="EE83" s="4">
        <v>0</v>
      </c>
      <c r="EF83" s="4">
        <v>1999599</v>
      </c>
      <c r="EG83" s="4">
        <v>1207622</v>
      </c>
      <c r="EH83" s="4">
        <v>363981</v>
      </c>
      <c r="EI83" s="4">
        <v>1571603</v>
      </c>
      <c r="EJ83" s="4">
        <v>152463</v>
      </c>
      <c r="EK83" s="4">
        <v>44475</v>
      </c>
      <c r="EL83" s="4">
        <v>22996</v>
      </c>
      <c r="EM83" s="4">
        <v>219934</v>
      </c>
      <c r="EN83" s="4">
        <v>208062</v>
      </c>
      <c r="EO83" s="4">
        <v>1999599</v>
      </c>
      <c r="EP83" s="4">
        <v>0</v>
      </c>
      <c r="EQ83" s="3">
        <v>0</v>
      </c>
      <c r="ER83" s="4">
        <v>0</v>
      </c>
      <c r="ES83" s="4">
        <v>0</v>
      </c>
      <c r="ET83" s="4">
        <v>0</v>
      </c>
      <c r="EU83" s="4">
        <v>0</v>
      </c>
      <c r="EV83" s="4">
        <v>0</v>
      </c>
      <c r="EW83" s="4">
        <v>0</v>
      </c>
      <c r="EX83" s="1">
        <v>15799</v>
      </c>
      <c r="EY83" s="1">
        <v>233354</v>
      </c>
      <c r="EZ83" s="1">
        <v>43856</v>
      </c>
      <c r="FA83" s="1">
        <v>4854</v>
      </c>
      <c r="FB83" s="1">
        <v>32798</v>
      </c>
      <c r="FC83" s="1">
        <v>30765</v>
      </c>
      <c r="FD83" s="1">
        <v>2109</v>
      </c>
      <c r="FE83" s="1">
        <v>18241</v>
      </c>
      <c r="FF83" s="1">
        <v>74621</v>
      </c>
      <c r="FG83" s="1">
        <v>6963</v>
      </c>
      <c r="FH83" s="1">
        <v>51039</v>
      </c>
      <c r="FI83" s="1">
        <v>132623</v>
      </c>
      <c r="FJ83">
        <v>247</v>
      </c>
      <c r="FK83">
        <v>213</v>
      </c>
      <c r="FM83" s="1">
        <v>132623</v>
      </c>
      <c r="FN83" s="1">
        <v>5035</v>
      </c>
      <c r="FO83" s="1">
        <v>5485</v>
      </c>
      <c r="FP83" s="1">
        <v>2639</v>
      </c>
      <c r="FQ83">
        <v>7</v>
      </c>
      <c r="FR83">
        <v>88</v>
      </c>
      <c r="FS83">
        <v>95</v>
      </c>
      <c r="FT83" s="1">
        <v>44141</v>
      </c>
      <c r="FU83" s="1">
        <v>3505</v>
      </c>
      <c r="FV83">
        <v>0</v>
      </c>
      <c r="FW83">
        <v>0</v>
      </c>
      <c r="FX83" s="1">
        <v>8544</v>
      </c>
      <c r="FY83" s="1">
        <v>1573</v>
      </c>
      <c r="FZ83">
        <v>322</v>
      </c>
      <c r="GA83">
        <v>0</v>
      </c>
      <c r="GB83" s="1">
        <v>26436</v>
      </c>
      <c r="GC83" s="1">
        <v>1747</v>
      </c>
      <c r="GD83">
        <v>278</v>
      </c>
      <c r="GJ83">
        <v>409</v>
      </c>
      <c r="GK83">
        <v>27</v>
      </c>
      <c r="GL83">
        <v>0</v>
      </c>
      <c r="GM83">
        <v>35</v>
      </c>
      <c r="GN83" s="1">
        <v>79530</v>
      </c>
      <c r="GO83" s="1">
        <v>6852</v>
      </c>
      <c r="GP83">
        <v>600</v>
      </c>
      <c r="GQ83">
        <v>35</v>
      </c>
      <c r="GR83">
        <v>96</v>
      </c>
      <c r="GT83" s="1">
        <v>75363</v>
      </c>
      <c r="GU83" s="1">
        <v>7489</v>
      </c>
      <c r="GV83" s="1">
        <v>73958</v>
      </c>
      <c r="GW83" s="1">
        <v>22035</v>
      </c>
      <c r="GX83" s="1">
        <v>3323</v>
      </c>
      <c r="GY83" s="1">
        <v>16075</v>
      </c>
      <c r="GZ83" s="1">
        <v>97398</v>
      </c>
      <c r="HA83" s="1">
        <v>10812</v>
      </c>
      <c r="HB83" s="1">
        <v>90033</v>
      </c>
      <c r="HC83" s="1">
        <v>198243</v>
      </c>
      <c r="HD83" s="1">
        <v>2033</v>
      </c>
      <c r="HE83" s="1">
        <v>200626</v>
      </c>
      <c r="HF83" s="1">
        <v>8974</v>
      </c>
      <c r="HG83" s="1">
        <v>28823</v>
      </c>
      <c r="HH83">
        <v>350</v>
      </c>
      <c r="HI83">
        <v>2</v>
      </c>
      <c r="HJ83" s="1">
        <v>37799</v>
      </c>
      <c r="HK83" s="1">
        <v>238425</v>
      </c>
      <c r="HL83">
        <v>61</v>
      </c>
      <c r="HM83" s="1">
        <v>21875</v>
      </c>
      <c r="HN83" s="1">
        <v>21936</v>
      </c>
      <c r="HO83">
        <v>194</v>
      </c>
      <c r="HP83" s="1">
        <v>3206</v>
      </c>
      <c r="HQ83" s="1">
        <v>3400</v>
      </c>
      <c r="HR83">
        <v>0</v>
      </c>
      <c r="HS83">
        <v>107</v>
      </c>
      <c r="HT83">
        <v>107</v>
      </c>
      <c r="HU83">
        <v>406</v>
      </c>
      <c r="HV83" s="1">
        <v>25849</v>
      </c>
      <c r="HW83" s="1">
        <v>5153</v>
      </c>
      <c r="HX83" s="1">
        <v>66274</v>
      </c>
      <c r="HY83" s="1">
        <v>71427</v>
      </c>
      <c r="HZ83" s="1">
        <v>97276</v>
      </c>
      <c r="IA83" s="1">
        <v>12374</v>
      </c>
      <c r="IB83" s="1">
        <v>41304</v>
      </c>
      <c r="IC83" s="1">
        <v>264274</v>
      </c>
      <c r="ID83" s="1">
        <v>264274</v>
      </c>
      <c r="IE83" s="1">
        <v>335701</v>
      </c>
      <c r="IF83" s="1">
        <v>109725</v>
      </c>
      <c r="IG83">
        <v>475</v>
      </c>
      <c r="IJ83">
        <v>1</v>
      </c>
      <c r="IK83" s="3">
        <v>2.6100000000000002E-2</v>
      </c>
      <c r="IL83" s="3">
        <v>8.9999999999999998E-4</v>
      </c>
      <c r="IM83" s="3">
        <v>0.37290000000000001</v>
      </c>
      <c r="IN83" s="3">
        <v>0</v>
      </c>
      <c r="IO83" s="3">
        <v>0.34079999999999999</v>
      </c>
      <c r="IP83" s="3">
        <v>4.0000000000000002E-4</v>
      </c>
      <c r="IQ83" s="3">
        <v>0.56830000000000003</v>
      </c>
      <c r="IR83" s="3">
        <v>5.0900000000000001E-2</v>
      </c>
      <c r="IS83" s="3">
        <v>0.41520000000000001</v>
      </c>
      <c r="IT83" s="1">
        <v>34854</v>
      </c>
      <c r="IU83" s="1">
        <v>11464</v>
      </c>
      <c r="IV83" s="1">
        <v>46318</v>
      </c>
      <c r="IW83" s="3">
        <v>0.37059999999999998</v>
      </c>
      <c r="IX83" s="1">
        <v>260598</v>
      </c>
      <c r="IZ83">
        <v>200</v>
      </c>
      <c r="JA83">
        <v>53</v>
      </c>
      <c r="JB83">
        <v>484</v>
      </c>
      <c r="JC83">
        <v>80</v>
      </c>
      <c r="JD83">
        <v>55</v>
      </c>
      <c r="JE83">
        <v>187</v>
      </c>
      <c r="JF83">
        <v>280</v>
      </c>
      <c r="JG83">
        <v>108</v>
      </c>
      <c r="JH83">
        <v>671</v>
      </c>
      <c r="JI83" s="1">
        <v>1059</v>
      </c>
      <c r="JJ83">
        <v>737</v>
      </c>
      <c r="JK83">
        <v>322</v>
      </c>
      <c r="JL83" s="1">
        <v>2106</v>
      </c>
      <c r="JM83">
        <v>587</v>
      </c>
      <c r="JN83" s="1">
        <v>9831</v>
      </c>
      <c r="JO83" s="1">
        <v>1913</v>
      </c>
      <c r="JP83" s="1">
        <v>2406</v>
      </c>
      <c r="JQ83" s="1">
        <v>7697</v>
      </c>
      <c r="JR83" s="1">
        <v>4019</v>
      </c>
      <c r="JS83" s="1">
        <v>2993</v>
      </c>
      <c r="JT83" s="1">
        <v>17528</v>
      </c>
      <c r="JU83" s="1">
        <v>24540</v>
      </c>
      <c r="JV83" s="1">
        <v>12524</v>
      </c>
      <c r="JW83" s="1">
        <v>12016</v>
      </c>
      <c r="JX83">
        <v>23.17</v>
      </c>
      <c r="JY83">
        <v>14.35</v>
      </c>
      <c r="JZ83">
        <v>26.12</v>
      </c>
      <c r="KA83">
        <v>0.16</v>
      </c>
      <c r="KB83">
        <v>0.71</v>
      </c>
      <c r="KC83">
        <v>10</v>
      </c>
      <c r="KD83">
        <v>174</v>
      </c>
      <c r="KE83">
        <v>59</v>
      </c>
      <c r="KF83">
        <v>341</v>
      </c>
      <c r="KM83" s="1">
        <v>93470</v>
      </c>
      <c r="KN83" s="1">
        <v>42647</v>
      </c>
      <c r="KO83" s="1">
        <v>4947</v>
      </c>
      <c r="KQ83">
        <v>846</v>
      </c>
      <c r="KR83" s="1">
        <v>3766</v>
      </c>
      <c r="KS83" s="1">
        <v>14429</v>
      </c>
      <c r="KT83" s="1">
        <v>8592</v>
      </c>
      <c r="KU83">
        <v>49</v>
      </c>
      <c r="KV83">
        <v>123</v>
      </c>
      <c r="KW83" s="1">
        <v>73923</v>
      </c>
      <c r="KY83" s="1">
        <v>62046</v>
      </c>
      <c r="KZ83" s="1">
        <v>86139</v>
      </c>
      <c r="LC83" t="s">
        <v>1840</v>
      </c>
      <c r="LD83" t="s">
        <v>709</v>
      </c>
      <c r="LE83" t="s">
        <v>1828</v>
      </c>
      <c r="LF83" t="s">
        <v>1829</v>
      </c>
      <c r="LG83">
        <v>27530</v>
      </c>
      <c r="LH83">
        <v>3850</v>
      </c>
      <c r="LI83" t="s">
        <v>1828</v>
      </c>
      <c r="LJ83" t="s">
        <v>1829</v>
      </c>
      <c r="LK83">
        <v>27530</v>
      </c>
      <c r="LL83">
        <v>3850</v>
      </c>
      <c r="LM83" t="s">
        <v>1831</v>
      </c>
      <c r="LN83">
        <v>9197351824</v>
      </c>
      <c r="LO83">
        <v>9197312889</v>
      </c>
      <c r="LP83" s="1">
        <v>46670</v>
      </c>
      <c r="LQ83">
        <v>36.53</v>
      </c>
      <c r="LS83" s="1">
        <v>8128</v>
      </c>
      <c r="LT83">
        <v>208</v>
      </c>
      <c r="LW83">
        <v>2</v>
      </c>
      <c r="LX83" t="s">
        <v>1841</v>
      </c>
      <c r="LY83">
        <v>0</v>
      </c>
      <c r="LZ83" t="s">
        <v>691</v>
      </c>
      <c r="MA83">
        <v>10.78</v>
      </c>
      <c r="MB83">
        <v>91.61</v>
      </c>
    </row>
    <row r="84" spans="1:340" x14ac:dyDescent="0.25">
      <c r="A84" t="s">
        <v>1842</v>
      </c>
      <c r="B84">
        <v>0</v>
      </c>
      <c r="C84">
        <v>1375</v>
      </c>
      <c r="D84">
        <v>2017</v>
      </c>
      <c r="E84">
        <v>0</v>
      </c>
      <c r="F84" t="s">
        <v>1842</v>
      </c>
      <c r="G84" t="s">
        <v>1843</v>
      </c>
      <c r="H84" t="s">
        <v>668</v>
      </c>
      <c r="I84" t="s">
        <v>669</v>
      </c>
      <c r="J84" t="s">
        <v>670</v>
      </c>
      <c r="K84" t="s">
        <v>671</v>
      </c>
      <c r="L84" t="s">
        <v>672</v>
      </c>
      <c r="M84" t="s">
        <v>673</v>
      </c>
      <c r="N84" s="1">
        <v>81689</v>
      </c>
      <c r="O84" t="s">
        <v>674</v>
      </c>
      <c r="P84">
        <v>642</v>
      </c>
      <c r="Q84">
        <v>37</v>
      </c>
      <c r="R84">
        <v>122</v>
      </c>
      <c r="S84">
        <v>18</v>
      </c>
      <c r="T84" s="1">
        <v>3420</v>
      </c>
      <c r="U84">
        <v>112</v>
      </c>
      <c r="V84" s="1">
        <v>28418</v>
      </c>
      <c r="Z84" t="s">
        <v>1844</v>
      </c>
      <c r="AA84" t="s">
        <v>1845</v>
      </c>
      <c r="AB84">
        <v>27893</v>
      </c>
      <c r="AC84">
        <v>3801</v>
      </c>
      <c r="AD84" t="s">
        <v>1844</v>
      </c>
      <c r="AE84" t="s">
        <v>1845</v>
      </c>
      <c r="AF84">
        <v>27893</v>
      </c>
      <c r="AG84">
        <v>2</v>
      </c>
      <c r="AH84" t="s">
        <v>1846</v>
      </c>
      <c r="AJ84" t="s">
        <v>35</v>
      </c>
      <c r="AK84" t="s">
        <v>1845</v>
      </c>
      <c r="AL84" t="s">
        <v>1847</v>
      </c>
      <c r="AM84" t="s">
        <v>1848</v>
      </c>
      <c r="AN84" t="s">
        <v>1849</v>
      </c>
      <c r="AO84" t="s">
        <v>1850</v>
      </c>
      <c r="AP84" t="s">
        <v>1847</v>
      </c>
      <c r="AQ84" t="s">
        <v>706</v>
      </c>
      <c r="AR84" t="s">
        <v>1848</v>
      </c>
      <c r="AS84" t="s">
        <v>1849</v>
      </c>
      <c r="AT84" t="s">
        <v>1850</v>
      </c>
      <c r="AU84" t="s">
        <v>1851</v>
      </c>
      <c r="BC84">
        <v>1</v>
      </c>
      <c r="BD84">
        <v>5</v>
      </c>
      <c r="BE84">
        <v>1</v>
      </c>
      <c r="BF84">
        <v>0</v>
      </c>
      <c r="BG84">
        <v>7</v>
      </c>
      <c r="BI84" s="1">
        <v>11066</v>
      </c>
      <c r="BJ84">
        <v>6</v>
      </c>
      <c r="BK84">
        <v>3</v>
      </c>
      <c r="BL84">
        <v>9</v>
      </c>
      <c r="BM84">
        <v>19.190000000000001</v>
      </c>
      <c r="BN84">
        <v>28.19</v>
      </c>
      <c r="BO84" s="3">
        <v>0.21279999999999999</v>
      </c>
      <c r="BP84">
        <v>683</v>
      </c>
      <c r="BQ84" s="4">
        <v>80004</v>
      </c>
      <c r="BT84" s="1">
        <v>59400</v>
      </c>
      <c r="BU84" s="4">
        <v>27204</v>
      </c>
      <c r="BV84" s="4">
        <v>42216</v>
      </c>
      <c r="BW84" s="4">
        <v>29385</v>
      </c>
      <c r="BY84" s="4">
        <v>55765</v>
      </c>
      <c r="BZ84" s="4">
        <v>55765</v>
      </c>
      <c r="CA84" s="4">
        <v>55765</v>
      </c>
      <c r="CG84" s="4">
        <v>42216</v>
      </c>
      <c r="CH84" s="4">
        <v>42216</v>
      </c>
      <c r="CI84" s="4">
        <v>42216</v>
      </c>
      <c r="CK84" s="4">
        <v>41388</v>
      </c>
      <c r="CL84" s="4">
        <v>41388</v>
      </c>
      <c r="CM84" s="1">
        <v>41388</v>
      </c>
      <c r="CO84" s="4">
        <v>51300</v>
      </c>
      <c r="CP84" s="4">
        <v>51300</v>
      </c>
      <c r="CQ84" s="4">
        <v>51300</v>
      </c>
      <c r="CR84" s="4">
        <v>42216</v>
      </c>
      <c r="CS84" s="4">
        <v>42216</v>
      </c>
      <c r="CT84" s="4">
        <v>42216</v>
      </c>
      <c r="CV84" s="4">
        <v>46536</v>
      </c>
      <c r="CW84" s="4">
        <v>46536</v>
      </c>
      <c r="CX84" s="4">
        <v>46536</v>
      </c>
      <c r="CZ84" s="4">
        <v>31836</v>
      </c>
      <c r="DA84" s="4">
        <v>31836</v>
      </c>
      <c r="DB84" s="4">
        <v>31836</v>
      </c>
      <c r="DD84" s="4">
        <v>27204</v>
      </c>
      <c r="DE84" s="4">
        <v>27204</v>
      </c>
      <c r="DF84" s="4">
        <v>27204</v>
      </c>
      <c r="DO84" s="4">
        <v>9</v>
      </c>
      <c r="DP84" s="4">
        <v>14</v>
      </c>
      <c r="DQ84" s="4">
        <v>11</v>
      </c>
      <c r="DV84" s="4">
        <v>0</v>
      </c>
      <c r="DW84" s="4">
        <v>1808619</v>
      </c>
      <c r="DX84" s="4">
        <v>1808619</v>
      </c>
      <c r="DY84" s="4">
        <v>129720</v>
      </c>
      <c r="DZ84" s="4">
        <v>0</v>
      </c>
      <c r="EA84" s="4">
        <v>129720</v>
      </c>
      <c r="EB84" s="4">
        <v>0</v>
      </c>
      <c r="EC84" s="4">
        <v>0</v>
      </c>
      <c r="ED84" s="4">
        <v>0</v>
      </c>
      <c r="EE84" s="4">
        <v>57364</v>
      </c>
      <c r="EF84" s="4">
        <v>1995703</v>
      </c>
      <c r="EG84" s="4">
        <v>960003</v>
      </c>
      <c r="EH84" s="4">
        <v>325674</v>
      </c>
      <c r="EI84" s="4">
        <v>1285677</v>
      </c>
      <c r="EJ84" s="4">
        <v>61873</v>
      </c>
      <c r="EK84" s="4">
        <v>13581</v>
      </c>
      <c r="EL84" s="4">
        <v>12701</v>
      </c>
      <c r="EM84" s="4">
        <v>88155</v>
      </c>
      <c r="EN84" s="4">
        <v>399869</v>
      </c>
      <c r="EO84" s="4">
        <v>1773701</v>
      </c>
      <c r="EP84" s="4">
        <v>222002</v>
      </c>
      <c r="EQ84" s="3">
        <v>0.11119999999999999</v>
      </c>
      <c r="ER84" s="4">
        <v>0</v>
      </c>
      <c r="ES84" s="4">
        <v>0</v>
      </c>
      <c r="ET84" s="4">
        <v>0</v>
      </c>
      <c r="EU84" s="4">
        <v>0</v>
      </c>
      <c r="EV84" s="4">
        <v>0</v>
      </c>
      <c r="EW84" s="4">
        <v>0</v>
      </c>
      <c r="EX84" s="1">
        <v>12236</v>
      </c>
      <c r="EY84" s="1">
        <v>263912</v>
      </c>
      <c r="EZ84" s="1">
        <v>59926</v>
      </c>
      <c r="FA84" s="1">
        <v>9688</v>
      </c>
      <c r="FB84" s="1">
        <v>51962</v>
      </c>
      <c r="FC84" s="1">
        <v>54219</v>
      </c>
      <c r="FD84">
        <v>457</v>
      </c>
      <c r="FE84" s="1">
        <v>18562</v>
      </c>
      <c r="FF84" s="1">
        <v>114145</v>
      </c>
      <c r="FG84" s="1">
        <v>10145</v>
      </c>
      <c r="FH84" s="1">
        <v>70524</v>
      </c>
      <c r="FI84" s="1">
        <v>194814</v>
      </c>
      <c r="FJ84">
        <v>0</v>
      </c>
      <c r="FK84">
        <v>154</v>
      </c>
      <c r="FM84" s="1">
        <v>194814</v>
      </c>
      <c r="FN84" s="1">
        <v>3059</v>
      </c>
      <c r="FO84" s="1">
        <v>5672</v>
      </c>
      <c r="FP84" s="1">
        <v>1067</v>
      </c>
      <c r="FQ84">
        <v>2</v>
      </c>
      <c r="FR84">
        <v>88</v>
      </c>
      <c r="FS84">
        <v>90</v>
      </c>
      <c r="FT84" s="1">
        <v>44141</v>
      </c>
      <c r="FU84" s="1">
        <v>3505</v>
      </c>
      <c r="FV84">
        <v>0</v>
      </c>
      <c r="FW84">
        <v>0</v>
      </c>
      <c r="FX84" s="1">
        <v>8544</v>
      </c>
      <c r="FY84" s="1">
        <v>1573</v>
      </c>
      <c r="FZ84">
        <v>322</v>
      </c>
      <c r="GA84">
        <v>0</v>
      </c>
      <c r="GE84">
        <v>0</v>
      </c>
      <c r="GJ84">
        <v>971</v>
      </c>
      <c r="GK84">
        <v>0</v>
      </c>
      <c r="GL84">
        <v>0</v>
      </c>
      <c r="GM84">
        <v>0</v>
      </c>
      <c r="GN84" s="1">
        <v>53656</v>
      </c>
      <c r="GO84" s="1">
        <v>5078</v>
      </c>
      <c r="GP84">
        <v>322</v>
      </c>
      <c r="GQ84">
        <v>0</v>
      </c>
      <c r="GR84">
        <v>26</v>
      </c>
      <c r="GT84" s="1">
        <v>68011</v>
      </c>
      <c r="GU84" s="1">
        <v>8506</v>
      </c>
      <c r="GV84" s="1">
        <v>75511</v>
      </c>
      <c r="GW84" s="1">
        <v>25355</v>
      </c>
      <c r="GX84">
        <v>347</v>
      </c>
      <c r="GY84" s="1">
        <v>17026</v>
      </c>
      <c r="GZ84" s="1">
        <v>93366</v>
      </c>
      <c r="HA84" s="1">
        <v>8853</v>
      </c>
      <c r="HB84" s="1">
        <v>92537</v>
      </c>
      <c r="HC84" s="1">
        <v>194756</v>
      </c>
      <c r="HD84" s="1">
        <v>4127</v>
      </c>
      <c r="HE84" s="1">
        <v>198883</v>
      </c>
      <c r="HF84" s="1">
        <v>8350</v>
      </c>
      <c r="HG84" s="1">
        <v>32181</v>
      </c>
      <c r="HH84">
        <v>0</v>
      </c>
      <c r="HI84">
        <v>0</v>
      </c>
      <c r="HJ84" s="1">
        <v>40531</v>
      </c>
      <c r="HK84" s="1">
        <v>239414</v>
      </c>
      <c r="HL84">
        <v>72</v>
      </c>
      <c r="HM84" s="1">
        <v>6432</v>
      </c>
      <c r="HN84" s="1">
        <v>6504</v>
      </c>
      <c r="HO84">
        <v>83</v>
      </c>
      <c r="HP84">
        <v>0</v>
      </c>
      <c r="HQ84">
        <v>83</v>
      </c>
      <c r="HR84">
        <v>0</v>
      </c>
      <c r="HS84">
        <v>0</v>
      </c>
      <c r="HT84">
        <v>0</v>
      </c>
      <c r="HU84">
        <v>0</v>
      </c>
      <c r="HV84" s="1">
        <v>6587</v>
      </c>
      <c r="HW84" s="1">
        <v>6152</v>
      </c>
      <c r="HX84" s="1">
        <v>56402</v>
      </c>
      <c r="HY84" s="1">
        <v>62554</v>
      </c>
      <c r="HZ84" s="1">
        <v>69141</v>
      </c>
      <c r="IA84" s="1">
        <v>8433</v>
      </c>
      <c r="IB84" s="1">
        <v>40614</v>
      </c>
      <c r="IC84" s="1">
        <v>246001</v>
      </c>
      <c r="ID84" s="1">
        <v>246001</v>
      </c>
      <c r="IE84" s="1">
        <v>308555</v>
      </c>
      <c r="IF84" s="1">
        <v>92537</v>
      </c>
      <c r="IG84">
        <v>4</v>
      </c>
      <c r="IJ84">
        <v>1</v>
      </c>
      <c r="IK84" s="3">
        <v>2.2700000000000001E-2</v>
      </c>
      <c r="IL84" s="3">
        <v>5.9999999999999995E-4</v>
      </c>
      <c r="IM84" s="3">
        <v>0.2238</v>
      </c>
      <c r="IN84" s="3">
        <v>0</v>
      </c>
      <c r="IO84" s="3">
        <v>0.20330000000000001</v>
      </c>
      <c r="IP84" s="3">
        <v>2.9999999999999997E-4</v>
      </c>
      <c r="IQ84" s="3">
        <v>0.73819999999999997</v>
      </c>
      <c r="IR84" s="3">
        <v>3.0800000000000001E-2</v>
      </c>
      <c r="IS84" s="3">
        <v>0.37619999999999998</v>
      </c>
      <c r="IT84" s="1">
        <v>34383</v>
      </c>
      <c r="IU84" s="1">
        <v>3815</v>
      </c>
      <c r="IV84" s="1">
        <v>38198</v>
      </c>
      <c r="IW84" s="3">
        <v>0.46760000000000002</v>
      </c>
      <c r="IX84" s="1">
        <v>192216</v>
      </c>
      <c r="IZ84">
        <v>61</v>
      </c>
      <c r="JA84">
        <v>66</v>
      </c>
      <c r="JB84">
        <v>358</v>
      </c>
      <c r="JC84">
        <v>0</v>
      </c>
      <c r="JD84">
        <v>0</v>
      </c>
      <c r="JE84">
        <v>10</v>
      </c>
      <c r="JF84">
        <v>61</v>
      </c>
      <c r="JG84">
        <v>66</v>
      </c>
      <c r="JH84">
        <v>368</v>
      </c>
      <c r="JI84">
        <v>495</v>
      </c>
      <c r="JJ84">
        <v>485</v>
      </c>
      <c r="JK84">
        <v>10</v>
      </c>
      <c r="JL84">
        <v>523</v>
      </c>
      <c r="JM84">
        <v>338</v>
      </c>
      <c r="JN84" s="1">
        <v>7066</v>
      </c>
      <c r="JO84">
        <v>0</v>
      </c>
      <c r="JP84">
        <v>0</v>
      </c>
      <c r="JQ84" s="1">
        <v>1353</v>
      </c>
      <c r="JR84">
        <v>523</v>
      </c>
      <c r="JS84">
        <v>338</v>
      </c>
      <c r="JT84" s="1">
        <v>8419</v>
      </c>
      <c r="JU84" s="1">
        <v>9280</v>
      </c>
      <c r="JV84" s="1">
        <v>7927</v>
      </c>
      <c r="JW84" s="1">
        <v>1353</v>
      </c>
      <c r="JX84">
        <v>18.75</v>
      </c>
      <c r="JY84">
        <v>8.57</v>
      </c>
      <c r="JZ84">
        <v>22.88</v>
      </c>
      <c r="KA84">
        <v>0.06</v>
      </c>
      <c r="KB84">
        <v>0.91</v>
      </c>
      <c r="KC84">
        <v>6</v>
      </c>
      <c r="KD84">
        <v>44</v>
      </c>
      <c r="KE84">
        <v>37</v>
      </c>
      <c r="KF84">
        <v>100</v>
      </c>
      <c r="KG84">
        <v>197</v>
      </c>
      <c r="KH84" s="1">
        <v>3867</v>
      </c>
      <c r="KI84">
        <v>0</v>
      </c>
      <c r="KJ84">
        <v>0</v>
      </c>
      <c r="KK84">
        <v>61</v>
      </c>
      <c r="KL84" s="1">
        <v>1710</v>
      </c>
      <c r="KM84" s="1">
        <v>34321</v>
      </c>
      <c r="KN84" s="1">
        <v>8490</v>
      </c>
      <c r="KO84">
        <v>929</v>
      </c>
      <c r="KQ84">
        <v>706</v>
      </c>
      <c r="KR84" s="1">
        <v>7032</v>
      </c>
      <c r="KS84">
        <v>191</v>
      </c>
      <c r="KT84">
        <v>143</v>
      </c>
      <c r="KU84">
        <v>33</v>
      </c>
      <c r="KV84">
        <v>55</v>
      </c>
      <c r="KW84" s="1">
        <v>37148</v>
      </c>
      <c r="KY84" s="1">
        <v>89432</v>
      </c>
      <c r="KZ84" s="1">
        <v>38511</v>
      </c>
      <c r="LC84" t="s">
        <v>1846</v>
      </c>
      <c r="LD84" t="s">
        <v>709</v>
      </c>
      <c r="LE84" t="s">
        <v>1844</v>
      </c>
      <c r="LF84" t="s">
        <v>1845</v>
      </c>
      <c r="LG84">
        <v>27893</v>
      </c>
      <c r="LH84">
        <v>3801</v>
      </c>
      <c r="LI84" t="s">
        <v>1844</v>
      </c>
      <c r="LJ84" t="s">
        <v>1845</v>
      </c>
      <c r="LK84">
        <v>27893</v>
      </c>
      <c r="LL84">
        <v>3801</v>
      </c>
      <c r="LM84" t="s">
        <v>1845</v>
      </c>
      <c r="LN84">
        <v>2522375355</v>
      </c>
      <c r="LO84">
        <v>2522655569</v>
      </c>
      <c r="LP84" s="1">
        <v>53720</v>
      </c>
      <c r="LQ84">
        <v>28.19</v>
      </c>
      <c r="LS84" s="1">
        <v>11066</v>
      </c>
      <c r="LT84">
        <v>52</v>
      </c>
      <c r="LW84">
        <v>2</v>
      </c>
      <c r="LX84" t="s">
        <v>1852</v>
      </c>
      <c r="LY84">
        <v>0</v>
      </c>
      <c r="LZ84" t="s">
        <v>691</v>
      </c>
      <c r="MA84">
        <v>90</v>
      </c>
      <c r="MB84">
        <v>90</v>
      </c>
    </row>
    <row r="87" spans="1:340" s="5" customFormat="1" x14ac:dyDescent="0.25">
      <c r="B87" s="5">
        <v>0</v>
      </c>
      <c r="C87" s="5">
        <v>1375</v>
      </c>
      <c r="D87" s="5">
        <v>2017</v>
      </c>
      <c r="E87" s="5">
        <v>0</v>
      </c>
      <c r="N87" s="6">
        <v>9382609</v>
      </c>
      <c r="P87" s="6">
        <v>124128</v>
      </c>
      <c r="Q87" s="6">
        <v>24100</v>
      </c>
      <c r="R87" s="6">
        <v>17937</v>
      </c>
      <c r="S87" s="6">
        <v>3020</v>
      </c>
      <c r="T87" s="6">
        <v>596255</v>
      </c>
      <c r="U87" s="6">
        <v>42137</v>
      </c>
      <c r="V87" s="6">
        <v>5381189</v>
      </c>
      <c r="W87" s="6">
        <v>527445</v>
      </c>
      <c r="X87" s="6">
        <v>52978976</v>
      </c>
      <c r="Y87" s="6">
        <v>12667098</v>
      </c>
      <c r="AI87" s="5">
        <v>2</v>
      </c>
      <c r="BC87" s="5">
        <v>69</v>
      </c>
      <c r="BD87" s="5">
        <v>320</v>
      </c>
      <c r="BE87" s="5">
        <v>20</v>
      </c>
      <c r="BF87" s="5">
        <v>70</v>
      </c>
      <c r="BG87" s="5">
        <v>479</v>
      </c>
      <c r="BH87" s="5">
        <v>0</v>
      </c>
      <c r="BJ87" s="5">
        <v>767.49</v>
      </c>
      <c r="BK87" s="5">
        <v>79.599999999999994</v>
      </c>
      <c r="BL87" s="5">
        <v>847.09</v>
      </c>
      <c r="BM87" s="7">
        <v>2211.94</v>
      </c>
      <c r="BN87" s="7">
        <v>3059.03</v>
      </c>
      <c r="BO87" s="8">
        <v>0.25090000000000001</v>
      </c>
      <c r="BP87" s="6">
        <v>279373</v>
      </c>
      <c r="BQ87" s="9">
        <v>77584</v>
      </c>
      <c r="BT87" s="6">
        <v>1957209</v>
      </c>
      <c r="BU87" s="9">
        <v>34215</v>
      </c>
      <c r="BV87" s="9">
        <v>51763</v>
      </c>
      <c r="BW87" s="9">
        <v>40087</v>
      </c>
      <c r="BY87" s="9">
        <v>41503</v>
      </c>
      <c r="BZ87" s="9">
        <v>55105</v>
      </c>
      <c r="CA87" s="9">
        <v>46012</v>
      </c>
      <c r="CC87" s="9">
        <v>41376</v>
      </c>
      <c r="CD87" s="9">
        <v>55517</v>
      </c>
      <c r="CE87" s="6">
        <v>46452</v>
      </c>
      <c r="CG87" s="9">
        <v>37808</v>
      </c>
      <c r="CH87" s="9">
        <v>50530</v>
      </c>
      <c r="CI87" s="9">
        <v>43055</v>
      </c>
      <c r="CK87" s="9">
        <v>30908</v>
      </c>
      <c r="CL87" s="9">
        <v>42299</v>
      </c>
      <c r="CM87" s="6">
        <v>31878</v>
      </c>
      <c r="CO87" s="9">
        <v>38066</v>
      </c>
      <c r="CP87" s="9">
        <v>52351</v>
      </c>
      <c r="CQ87" s="9">
        <v>43169</v>
      </c>
      <c r="CR87" s="9">
        <v>32683</v>
      </c>
      <c r="CS87" s="9">
        <v>44669</v>
      </c>
      <c r="CT87" s="9">
        <v>34108</v>
      </c>
      <c r="CV87" s="9">
        <v>34730</v>
      </c>
      <c r="CW87" s="9">
        <v>48974</v>
      </c>
      <c r="CX87" s="9">
        <v>38520</v>
      </c>
      <c r="CZ87" s="9">
        <v>29423</v>
      </c>
      <c r="DA87" s="9">
        <v>40022</v>
      </c>
      <c r="DB87" s="9">
        <v>30897</v>
      </c>
      <c r="DD87" s="9">
        <v>22808</v>
      </c>
      <c r="DE87" s="9">
        <v>33610</v>
      </c>
      <c r="DF87" s="9">
        <v>20757</v>
      </c>
      <c r="DH87" s="9">
        <v>29066</v>
      </c>
      <c r="DI87" s="9">
        <v>41900</v>
      </c>
      <c r="DJ87" s="9">
        <v>30837</v>
      </c>
      <c r="DK87" s="9">
        <v>27649</v>
      </c>
      <c r="DL87" s="9">
        <v>40907</v>
      </c>
      <c r="DM87" s="9">
        <v>31046</v>
      </c>
      <c r="DO87" s="9">
        <v>22694</v>
      </c>
      <c r="DP87" s="9">
        <v>34259</v>
      </c>
      <c r="DQ87" s="9">
        <v>26316</v>
      </c>
      <c r="DS87" s="9">
        <v>30653</v>
      </c>
      <c r="DT87" s="9">
        <v>42598</v>
      </c>
      <c r="DU87" s="9">
        <v>33648</v>
      </c>
      <c r="DV87" s="9">
        <v>26185274</v>
      </c>
      <c r="DW87" s="9">
        <v>183328797</v>
      </c>
      <c r="DX87" s="9">
        <v>209514071</v>
      </c>
      <c r="DY87" s="9">
        <v>14182131</v>
      </c>
      <c r="DZ87" s="9">
        <v>614303</v>
      </c>
      <c r="EA87" s="9">
        <v>14796434</v>
      </c>
      <c r="EB87" s="9">
        <v>1404858</v>
      </c>
      <c r="EC87" s="9">
        <v>202709</v>
      </c>
      <c r="ED87" s="9">
        <v>1607567</v>
      </c>
      <c r="EE87" s="9">
        <v>10344747</v>
      </c>
      <c r="EF87" s="9">
        <v>236262819</v>
      </c>
      <c r="EG87" s="9">
        <v>114159149</v>
      </c>
      <c r="EH87" s="9">
        <v>43359667</v>
      </c>
      <c r="EI87" s="9">
        <v>157518816</v>
      </c>
      <c r="EJ87" s="9">
        <v>17657727</v>
      </c>
      <c r="EK87" s="9">
        <v>5441038</v>
      </c>
      <c r="EL87" s="9">
        <v>2856548</v>
      </c>
      <c r="EM87" s="9">
        <v>25955313</v>
      </c>
      <c r="EN87" s="9">
        <v>42826978</v>
      </c>
      <c r="EO87" s="9">
        <v>226301107</v>
      </c>
      <c r="EP87" s="9">
        <v>9961712</v>
      </c>
      <c r="EQ87" s="8">
        <v>4.2200000000000001E-2</v>
      </c>
      <c r="ER87" s="9">
        <v>78141200</v>
      </c>
      <c r="ES87" s="9">
        <v>0</v>
      </c>
      <c r="ET87" s="9">
        <v>151941</v>
      </c>
      <c r="EU87" s="9">
        <v>685511</v>
      </c>
      <c r="EV87" s="9">
        <v>78978652</v>
      </c>
      <c r="EW87" s="9">
        <v>33982744</v>
      </c>
      <c r="EX87" s="6">
        <v>2572018</v>
      </c>
      <c r="EY87" s="6">
        <v>25349148</v>
      </c>
      <c r="EZ87" s="6">
        <v>4704806</v>
      </c>
      <c r="FA87" s="6">
        <v>680479</v>
      </c>
      <c r="FB87" s="6">
        <v>3846233</v>
      </c>
      <c r="FC87" s="6">
        <v>4436409</v>
      </c>
      <c r="FD87" s="6">
        <v>111799</v>
      </c>
      <c r="FE87" s="6">
        <v>1747187</v>
      </c>
      <c r="FF87" s="6">
        <v>9141215</v>
      </c>
      <c r="FG87" s="6">
        <v>792278</v>
      </c>
      <c r="FH87" s="6">
        <v>5593420</v>
      </c>
      <c r="FI87" s="6">
        <v>15526913</v>
      </c>
      <c r="FJ87" s="6">
        <v>239726</v>
      </c>
      <c r="FK87" s="6">
        <v>20284</v>
      </c>
      <c r="FL87" s="5">
        <v>0</v>
      </c>
      <c r="FM87" s="6">
        <v>15526913</v>
      </c>
      <c r="FN87" s="6">
        <v>666565</v>
      </c>
      <c r="FO87" s="6">
        <v>844013</v>
      </c>
      <c r="FP87" s="6">
        <v>200429</v>
      </c>
      <c r="FQ87" s="5">
        <v>521</v>
      </c>
      <c r="FS87" s="5">
        <v>521</v>
      </c>
      <c r="FT87" s="6">
        <v>3558005</v>
      </c>
      <c r="FU87" s="6">
        <v>282422</v>
      </c>
      <c r="FV87" s="5">
        <v>0</v>
      </c>
      <c r="FW87" s="5">
        <v>0</v>
      </c>
      <c r="FX87" s="6">
        <v>692102</v>
      </c>
      <c r="FY87" s="6">
        <v>127429</v>
      </c>
      <c r="FZ87" s="6">
        <v>26085</v>
      </c>
      <c r="GA87" s="5">
        <v>0</v>
      </c>
      <c r="GB87" s="6">
        <v>719088</v>
      </c>
      <c r="GC87" s="6">
        <v>47970</v>
      </c>
      <c r="GD87" s="6">
        <v>7516</v>
      </c>
      <c r="GE87" s="5">
        <v>302</v>
      </c>
      <c r="GF87" s="6">
        <v>805045</v>
      </c>
      <c r="GG87" s="6">
        <v>290267</v>
      </c>
      <c r="GH87" s="6">
        <v>5806</v>
      </c>
      <c r="GI87" s="5">
        <v>263</v>
      </c>
      <c r="GJ87" s="6">
        <v>851181</v>
      </c>
      <c r="GK87" s="6">
        <v>307038</v>
      </c>
      <c r="GL87" s="6">
        <v>127937</v>
      </c>
      <c r="GM87" s="6">
        <v>2241</v>
      </c>
      <c r="GN87" s="6">
        <v>6625421</v>
      </c>
      <c r="GO87" s="6">
        <v>1055126</v>
      </c>
      <c r="GP87" s="6">
        <v>167344</v>
      </c>
      <c r="GQ87" s="6">
        <v>2806</v>
      </c>
      <c r="GR87" s="6">
        <v>4973</v>
      </c>
      <c r="GT87" s="6">
        <v>10638597</v>
      </c>
      <c r="GU87" s="6">
        <v>1588052</v>
      </c>
      <c r="GV87" s="6">
        <v>15802953</v>
      </c>
      <c r="GW87" s="6">
        <v>4797632</v>
      </c>
      <c r="GX87" s="6">
        <v>115718</v>
      </c>
      <c r="GY87" s="6">
        <v>3282189</v>
      </c>
      <c r="GZ87" s="6">
        <v>15436229</v>
      </c>
      <c r="HA87" s="6">
        <v>1703770</v>
      </c>
      <c r="HB87" s="6">
        <v>19085142</v>
      </c>
      <c r="HC87" s="6">
        <v>36225141</v>
      </c>
      <c r="HD87" s="6">
        <v>218241</v>
      </c>
      <c r="HE87" s="6">
        <v>36562723</v>
      </c>
      <c r="HF87" s="6">
        <v>2109553</v>
      </c>
      <c r="HG87" s="6">
        <v>5416773</v>
      </c>
      <c r="HH87" s="6">
        <v>119341</v>
      </c>
      <c r="HI87" s="6">
        <v>293404</v>
      </c>
      <c r="HJ87" s="6">
        <v>7819730</v>
      </c>
      <c r="HK87" s="6">
        <v>44382453</v>
      </c>
      <c r="HL87" s="6">
        <v>13726</v>
      </c>
      <c r="HM87" s="6">
        <v>3262371</v>
      </c>
      <c r="HN87" s="6">
        <v>3276097</v>
      </c>
      <c r="HO87" s="6">
        <v>41400</v>
      </c>
      <c r="HP87" s="6">
        <v>1336682</v>
      </c>
      <c r="HQ87" s="6">
        <v>1378082</v>
      </c>
      <c r="HR87" s="5">
        <v>0</v>
      </c>
      <c r="HS87" s="6">
        <v>96839</v>
      </c>
      <c r="HT87" s="6">
        <v>96839</v>
      </c>
      <c r="HU87" s="6">
        <v>150028</v>
      </c>
      <c r="HV87" s="6">
        <v>4901046</v>
      </c>
      <c r="HW87" s="6">
        <v>108531589</v>
      </c>
      <c r="HX87" s="6">
        <v>5157033</v>
      </c>
      <c r="HY87" s="6">
        <v>113688622</v>
      </c>
      <c r="HZ87" s="6">
        <v>118589668</v>
      </c>
      <c r="IA87" s="6">
        <v>3487635</v>
      </c>
      <c r="IB87" s="6">
        <v>9001247</v>
      </c>
      <c r="IC87" s="6">
        <v>49283499</v>
      </c>
      <c r="ID87" s="6">
        <v>49283499</v>
      </c>
      <c r="IE87" s="6">
        <v>162972121</v>
      </c>
      <c r="IF87" s="6">
        <v>21643347</v>
      </c>
      <c r="IG87" s="6">
        <v>101430</v>
      </c>
      <c r="IK87" s="8">
        <v>3.9899999999999998E-2</v>
      </c>
      <c r="IL87" s="8">
        <v>8.0000000000000004E-4</v>
      </c>
      <c r="IM87" s="8">
        <v>0.30969999999999998</v>
      </c>
      <c r="IN87" s="8">
        <v>0</v>
      </c>
      <c r="IO87" s="8">
        <v>0.26140000000000002</v>
      </c>
      <c r="IP87" s="8">
        <v>0</v>
      </c>
      <c r="IQ87" s="8">
        <v>0.61250000000000004</v>
      </c>
      <c r="IR87" s="8">
        <v>6.7900000000000002E-2</v>
      </c>
      <c r="IS87" s="8">
        <v>0.43919999999999998</v>
      </c>
      <c r="IT87" s="6">
        <v>4224183</v>
      </c>
      <c r="IU87" s="6">
        <v>1423269</v>
      </c>
      <c r="IV87" s="6">
        <v>5647452</v>
      </c>
      <c r="IW87" s="8">
        <v>0.60189999999999999</v>
      </c>
      <c r="IX87" s="6">
        <v>32621293</v>
      </c>
      <c r="IZ87" s="6">
        <v>35635</v>
      </c>
      <c r="JA87" s="6">
        <v>11070</v>
      </c>
      <c r="JB87" s="6">
        <v>73694</v>
      </c>
      <c r="JC87" s="6">
        <v>4005</v>
      </c>
      <c r="JD87" s="5">
        <v>898</v>
      </c>
      <c r="JE87" s="6">
        <v>21658</v>
      </c>
      <c r="JF87" s="6">
        <v>39640</v>
      </c>
      <c r="JG87" s="6">
        <v>11968</v>
      </c>
      <c r="JH87" s="6">
        <v>95352</v>
      </c>
      <c r="JI87" s="6">
        <v>146960</v>
      </c>
      <c r="JJ87" s="6">
        <v>120399</v>
      </c>
      <c r="JK87" s="6">
        <v>26561</v>
      </c>
      <c r="JL87" s="6">
        <v>400554</v>
      </c>
      <c r="JM87" s="6">
        <v>119596</v>
      </c>
      <c r="JN87" s="6">
        <v>1786275</v>
      </c>
      <c r="JO87" s="6">
        <v>77988</v>
      </c>
      <c r="JP87" s="6">
        <v>33139</v>
      </c>
      <c r="JQ87" s="6">
        <v>622246</v>
      </c>
      <c r="JR87" s="6">
        <v>478542</v>
      </c>
      <c r="JS87" s="6">
        <v>152735</v>
      </c>
      <c r="JT87" s="6">
        <v>2408521</v>
      </c>
      <c r="JU87" s="6">
        <v>3039798</v>
      </c>
      <c r="JV87" s="6">
        <v>2306425</v>
      </c>
      <c r="JW87" s="6">
        <v>733373</v>
      </c>
      <c r="JX87" s="5">
        <v>20.68</v>
      </c>
      <c r="JY87" s="5">
        <v>12.07</v>
      </c>
      <c r="JZ87" s="5">
        <v>25.26</v>
      </c>
      <c r="KA87" s="5">
        <v>0.16</v>
      </c>
      <c r="KB87" s="5">
        <v>0.79</v>
      </c>
      <c r="KC87" s="6">
        <v>3560</v>
      </c>
      <c r="KD87" s="6">
        <v>26821</v>
      </c>
      <c r="KE87" s="6">
        <v>9586</v>
      </c>
      <c r="KF87" s="6">
        <v>30628</v>
      </c>
      <c r="KG87" s="6">
        <v>36930</v>
      </c>
      <c r="KH87" s="6">
        <v>920937</v>
      </c>
      <c r="KI87" s="6">
        <v>1957</v>
      </c>
      <c r="KJ87" s="6">
        <v>18972</v>
      </c>
      <c r="KK87" s="6">
        <v>7992</v>
      </c>
      <c r="KL87" s="6">
        <v>107427</v>
      </c>
      <c r="KM87" s="6">
        <v>6946172</v>
      </c>
      <c r="KN87" s="6">
        <v>1982396</v>
      </c>
      <c r="KO87" s="6">
        <v>423842</v>
      </c>
      <c r="KQ87" s="6">
        <v>110893</v>
      </c>
      <c r="KR87" s="6">
        <v>871099</v>
      </c>
      <c r="KS87" s="6">
        <v>485075</v>
      </c>
      <c r="KT87" s="6">
        <v>397617</v>
      </c>
      <c r="KU87" s="6">
        <v>4107</v>
      </c>
      <c r="KV87" s="6">
        <v>7611</v>
      </c>
      <c r="KW87" s="6">
        <v>5938721</v>
      </c>
      <c r="KY87" s="6">
        <v>37549626</v>
      </c>
      <c r="KZ87" s="6">
        <v>4234490</v>
      </c>
      <c r="LP87" s="6">
        <v>4662272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"/>
  <sheetViews>
    <sheetView workbookViewId="0">
      <selection activeCell="I2" sqref="I2"/>
    </sheetView>
  </sheetViews>
  <sheetFormatPr defaultColWidth="8.85546875" defaultRowHeight="15" x14ac:dyDescent="0.25"/>
  <cols>
    <col min="1" max="1" width="7.7109375" style="16" customWidth="1"/>
    <col min="2" max="2" width="23" style="16" customWidth="1"/>
    <col min="3" max="3" width="15.7109375" style="75" customWidth="1"/>
    <col min="4" max="4" width="14" style="76" customWidth="1"/>
    <col min="5" max="5" width="9.85546875" style="77" customWidth="1"/>
    <col min="6" max="6" width="10.42578125" style="77" customWidth="1"/>
    <col min="7" max="7" width="13.85546875" style="77" customWidth="1"/>
    <col min="8" max="8" width="17.42578125" style="76" customWidth="1"/>
    <col min="9" max="9" width="12.140625" style="76" customWidth="1"/>
    <col min="10" max="16384" width="8.85546875" style="16"/>
  </cols>
  <sheetData>
    <row r="1" spans="1:9" x14ac:dyDescent="0.25">
      <c r="A1" s="10"/>
      <c r="B1" s="11"/>
      <c r="C1" s="12"/>
      <c r="D1" s="13"/>
      <c r="E1" s="14"/>
      <c r="F1" s="14"/>
      <c r="G1" s="14"/>
      <c r="H1" s="13"/>
      <c r="I1" s="15" t="s">
        <v>2271</v>
      </c>
    </row>
    <row r="2" spans="1:9" ht="15.75" x14ac:dyDescent="0.25">
      <c r="A2" s="17" t="s">
        <v>1853</v>
      </c>
      <c r="B2" s="18"/>
      <c r="C2" s="19"/>
      <c r="D2" s="20"/>
      <c r="E2" s="21"/>
      <c r="F2" s="21"/>
      <c r="G2" s="21"/>
      <c r="H2" s="20"/>
      <c r="I2" s="22" t="s">
        <v>2004</v>
      </c>
    </row>
    <row r="3" spans="1:9" ht="11.25" customHeight="1" thickBot="1" x14ac:dyDescent="0.3">
      <c r="A3" s="23"/>
      <c r="B3" s="24"/>
      <c r="C3" s="19"/>
      <c r="D3" s="20"/>
      <c r="E3" s="21"/>
      <c r="F3" s="21"/>
      <c r="G3" s="21"/>
      <c r="H3" s="20"/>
      <c r="I3" s="25"/>
    </row>
    <row r="4" spans="1:9" ht="33.75" customHeight="1" thickTop="1" x14ac:dyDescent="0.25">
      <c r="A4" s="635"/>
      <c r="B4" s="638"/>
      <c r="C4" s="641" t="s">
        <v>1854</v>
      </c>
      <c r="D4" s="644" t="s">
        <v>1855</v>
      </c>
      <c r="E4" s="645" t="s">
        <v>1856</v>
      </c>
      <c r="F4" s="646"/>
      <c r="G4" s="646"/>
      <c r="H4" s="647"/>
      <c r="I4" s="633" t="s">
        <v>1857</v>
      </c>
    </row>
    <row r="5" spans="1:9" ht="16.5" customHeight="1" thickBot="1" x14ac:dyDescent="0.3">
      <c r="A5" s="636"/>
      <c r="B5" s="639"/>
      <c r="C5" s="642"/>
      <c r="D5" s="633"/>
      <c r="E5" s="28" t="s">
        <v>1858</v>
      </c>
      <c r="F5" s="28" t="s">
        <v>1859</v>
      </c>
      <c r="G5" s="29" t="s">
        <v>1860</v>
      </c>
      <c r="H5" s="30" t="s">
        <v>1861</v>
      </c>
      <c r="I5" s="633"/>
    </row>
    <row r="6" spans="1:9" ht="15.75" hidden="1" customHeight="1" x14ac:dyDescent="0.25">
      <c r="A6" s="637"/>
      <c r="B6" s="640"/>
      <c r="C6" s="643"/>
      <c r="D6" s="634"/>
      <c r="E6" s="32" t="s">
        <v>1858</v>
      </c>
      <c r="F6" s="28" t="s">
        <v>1859</v>
      </c>
      <c r="G6" s="28" t="s">
        <v>1860</v>
      </c>
      <c r="H6" s="33" t="s">
        <v>1862</v>
      </c>
      <c r="I6" s="634"/>
    </row>
    <row r="7" spans="1:9" ht="16.5" thickTop="1" thickBot="1" x14ac:dyDescent="0.3">
      <c r="A7" s="34"/>
      <c r="B7" s="35" t="s">
        <v>1863</v>
      </c>
      <c r="C7" s="36"/>
      <c r="D7" s="37"/>
      <c r="E7" s="38"/>
      <c r="F7" s="38"/>
      <c r="G7" s="38"/>
      <c r="H7" s="37"/>
      <c r="I7" s="39"/>
    </row>
    <row r="8" spans="1:9" ht="15.75" thickTop="1" x14ac:dyDescent="0.25">
      <c r="A8" s="40" t="s">
        <v>666</v>
      </c>
      <c r="B8" s="41" t="s">
        <v>1927</v>
      </c>
      <c r="C8" s="42"/>
      <c r="D8" s="43">
        <v>159054</v>
      </c>
      <c r="E8" s="82">
        <f>VLOOKUP($A8,[0]!Data,55,FALSE)</f>
        <v>1</v>
      </c>
      <c r="F8" s="43">
        <f>VLOOKUP($A8,[0]!Data,56,FALSE)</f>
        <v>4</v>
      </c>
      <c r="G8" s="43">
        <f>VLOOKUP($A8,[0]!Data,57,FALSE)</f>
        <v>0</v>
      </c>
      <c r="H8" s="43">
        <f>VLOOKUP($A8,[0]!Data,58,FALSE)</f>
        <v>0</v>
      </c>
      <c r="I8" s="83">
        <f>VLOOKUP($A8,[0]!Data,61,FALSE)</f>
        <v>11648</v>
      </c>
    </row>
    <row r="9" spans="1:9" x14ac:dyDescent="0.25">
      <c r="A9" s="40" t="s">
        <v>711</v>
      </c>
      <c r="B9" s="41" t="s">
        <v>1928</v>
      </c>
      <c r="C9" s="42"/>
      <c r="D9" s="43">
        <v>38284</v>
      </c>
      <c r="E9" s="82">
        <f>VLOOKUP($A9,[0]!Data,55,FALSE)</f>
        <v>1</v>
      </c>
      <c r="F9" s="43">
        <f>VLOOKUP($A9,[0]!Data,56,FALSE)</f>
        <v>1</v>
      </c>
      <c r="G9" s="43">
        <f>VLOOKUP($A9,[0]!Data,57,FALSE)</f>
        <v>0</v>
      </c>
      <c r="H9" s="43">
        <f>VLOOKUP($A9,[0]!Data,58,FALSE)</f>
        <v>0</v>
      </c>
      <c r="I9" s="83">
        <f>VLOOKUP($A9,[0]!Data,61,FALSE)</f>
        <v>3801</v>
      </c>
    </row>
    <row r="10" spans="1:9" x14ac:dyDescent="0.25">
      <c r="A10" s="40" t="s">
        <v>775</v>
      </c>
      <c r="B10" s="41" t="s">
        <v>1929</v>
      </c>
      <c r="C10" s="42"/>
      <c r="D10" s="43">
        <v>34667</v>
      </c>
      <c r="E10" s="82">
        <f>VLOOKUP($A10,[0]!Data,55,FALSE)</f>
        <v>1</v>
      </c>
      <c r="F10" s="43">
        <f>VLOOKUP($A10,[0]!Data,56,FALSE)</f>
        <v>2</v>
      </c>
      <c r="G10" s="43">
        <f>VLOOKUP($A10,[0]!Data,57,FALSE)</f>
        <v>1</v>
      </c>
      <c r="H10" s="43">
        <f>VLOOKUP($A10,[0]!Data,58,FALSE)</f>
        <v>2</v>
      </c>
      <c r="I10" s="83">
        <f>VLOOKUP($A10,[0]!Data,61,FALSE)</f>
        <v>6494</v>
      </c>
    </row>
    <row r="11" spans="1:9" x14ac:dyDescent="0.25">
      <c r="A11" s="40" t="s">
        <v>804</v>
      </c>
      <c r="B11" s="41" t="s">
        <v>1930</v>
      </c>
      <c r="C11" s="42"/>
      <c r="D11" s="43">
        <v>127750</v>
      </c>
      <c r="E11" s="82">
        <f>VLOOKUP($A11,[0]!Data,55,FALSE)</f>
        <v>0</v>
      </c>
      <c r="F11" s="43">
        <f>VLOOKUP($A11,[0]!Data,56,FALSE)</f>
        <v>5</v>
      </c>
      <c r="G11" s="43">
        <f>VLOOKUP($A11,[0]!Data,57,FALSE)</f>
        <v>0</v>
      </c>
      <c r="H11" s="43">
        <f>VLOOKUP($A11,[0]!Data,58,FALSE)</f>
        <v>0</v>
      </c>
      <c r="I11" s="83">
        <f>VLOOKUP($A11,[0]!Data,61,FALSE)</f>
        <v>11850</v>
      </c>
    </row>
    <row r="12" spans="1:9" x14ac:dyDescent="0.25">
      <c r="A12" s="40" t="s">
        <v>818</v>
      </c>
      <c r="B12" s="41" t="s">
        <v>1931</v>
      </c>
      <c r="C12" s="42"/>
      <c r="D12" s="43">
        <v>258406</v>
      </c>
      <c r="E12" s="82">
        <f>VLOOKUP($A12,[0]!Data,55,FALSE)</f>
        <v>1</v>
      </c>
      <c r="F12" s="43">
        <f>VLOOKUP($A12,[0]!Data,56,FALSE)</f>
        <v>12</v>
      </c>
      <c r="G12" s="43">
        <f>VLOOKUP($A12,[0]!Data,57,FALSE)</f>
        <v>0</v>
      </c>
      <c r="H12" s="43">
        <f>VLOOKUP($A12,[0]!Data,58,FALSE)</f>
        <v>0</v>
      </c>
      <c r="I12" s="83">
        <f>VLOOKUP($A12,[0]!Data,61,FALSE)</f>
        <v>32084</v>
      </c>
    </row>
    <row r="13" spans="1:9" x14ac:dyDescent="0.25">
      <c r="A13" s="40" t="s">
        <v>831</v>
      </c>
      <c r="B13" s="41" t="s">
        <v>1932</v>
      </c>
      <c r="C13" s="42"/>
      <c r="D13" s="43">
        <v>89747</v>
      </c>
      <c r="E13" s="82">
        <f>VLOOKUP($A13,[0]!Data,55,FALSE)</f>
        <v>1</v>
      </c>
      <c r="F13" s="43">
        <f>VLOOKUP($A13,[0]!Data,56,FALSE)</f>
        <v>2</v>
      </c>
      <c r="G13" s="43">
        <f>VLOOKUP($A13,[0]!Data,57,FALSE)</f>
        <v>0</v>
      </c>
      <c r="H13" s="43">
        <f>VLOOKUP($A13,[0]!Data,58,FALSE)</f>
        <v>1</v>
      </c>
      <c r="I13" s="83">
        <f>VLOOKUP($A13,[0]!Data,61,FALSE)</f>
        <v>7332</v>
      </c>
    </row>
    <row r="14" spans="1:9" x14ac:dyDescent="0.25">
      <c r="A14" s="40" t="s">
        <v>843</v>
      </c>
      <c r="B14" s="41" t="s">
        <v>1933</v>
      </c>
      <c r="C14" s="42"/>
      <c r="D14" s="43">
        <v>200663</v>
      </c>
      <c r="E14" s="82">
        <f>VLOOKUP($A14,[0]!Data,55,FALSE)</f>
        <v>1</v>
      </c>
      <c r="F14" s="43">
        <f>VLOOKUP($A14,[0]!Data,56,FALSE)</f>
        <v>3</v>
      </c>
      <c r="G14" s="43">
        <f>VLOOKUP($A14,[0]!Data,57,FALSE)</f>
        <v>0</v>
      </c>
      <c r="H14" s="43">
        <f>VLOOKUP($A14,[0]!Data,58,FALSE)</f>
        <v>1</v>
      </c>
      <c r="I14" s="83">
        <f>VLOOKUP($A14,[0]!Data,61,FALSE)</f>
        <v>11354</v>
      </c>
    </row>
    <row r="15" spans="1:9" x14ac:dyDescent="0.25">
      <c r="A15" s="40" t="s">
        <v>855</v>
      </c>
      <c r="B15" s="41" t="s">
        <v>1934</v>
      </c>
      <c r="C15" s="42"/>
      <c r="D15" s="43">
        <v>82772</v>
      </c>
      <c r="E15" s="82">
        <f>VLOOKUP($A15,[0]!Data,55,FALSE)</f>
        <v>1</v>
      </c>
      <c r="F15" s="43">
        <f>VLOOKUP($A15,[0]!Data,56,FALSE)</f>
        <v>2</v>
      </c>
      <c r="G15" s="43">
        <f>VLOOKUP($A15,[0]!Data,57,FALSE)</f>
        <v>0</v>
      </c>
      <c r="H15" s="43">
        <f>VLOOKUP($A15,[0]!Data,58,FALSE)</f>
        <v>0</v>
      </c>
      <c r="I15" s="83">
        <f>VLOOKUP($A15,[0]!Data,61,FALSE)</f>
        <v>7228</v>
      </c>
    </row>
    <row r="16" spans="1:9" x14ac:dyDescent="0.25">
      <c r="A16" s="40" t="s">
        <v>868</v>
      </c>
      <c r="B16" s="41" t="s">
        <v>1935</v>
      </c>
      <c r="C16" s="42"/>
      <c r="D16" s="43">
        <v>23689</v>
      </c>
      <c r="E16" s="82">
        <f>VLOOKUP($A16,[0]!Data,55,FALSE)</f>
        <v>1</v>
      </c>
      <c r="F16" s="43">
        <f>VLOOKUP($A16,[0]!Data,56,FALSE)</f>
        <v>0</v>
      </c>
      <c r="G16" s="43">
        <f>VLOOKUP($A16,[0]!Data,57,FALSE)</f>
        <v>0</v>
      </c>
      <c r="H16" s="43">
        <f>VLOOKUP($A16,[0]!Data,58,FALSE)</f>
        <v>1</v>
      </c>
      <c r="I16" s="83">
        <f>VLOOKUP($A16,[0]!Data,61,FALSE)</f>
        <v>2387</v>
      </c>
    </row>
    <row r="17" spans="1:9" x14ac:dyDescent="0.25">
      <c r="A17" s="40" t="s">
        <v>881</v>
      </c>
      <c r="B17" s="41" t="s">
        <v>1936</v>
      </c>
      <c r="C17" s="42"/>
      <c r="D17" s="43">
        <v>116108</v>
      </c>
      <c r="E17" s="82">
        <f>VLOOKUP($A17,[0]!Data,55,FALSE)</f>
        <v>1</v>
      </c>
      <c r="F17" s="43">
        <f>VLOOKUP($A17,[0]!Data,56,FALSE)</f>
        <v>6</v>
      </c>
      <c r="G17" s="43">
        <f>VLOOKUP($A17,[0]!Data,57,FALSE)</f>
        <v>0</v>
      </c>
      <c r="H17" s="43">
        <f>VLOOKUP($A17,[0]!Data,58,FALSE)</f>
        <v>0</v>
      </c>
      <c r="I17" s="83">
        <f>VLOOKUP($A17,[0]!Data,61,FALSE)</f>
        <v>16796</v>
      </c>
    </row>
    <row r="18" spans="1:9" x14ac:dyDescent="0.25">
      <c r="A18" s="40" t="s">
        <v>932</v>
      </c>
      <c r="B18" s="41" t="s">
        <v>1937</v>
      </c>
      <c r="C18" s="42"/>
      <c r="D18" s="43">
        <v>73286</v>
      </c>
      <c r="E18" s="82">
        <f>VLOOKUP($A18,[0]!Data,55,FALSE)</f>
        <v>1</v>
      </c>
      <c r="F18" s="43">
        <f>VLOOKUP($A18,[0]!Data,56,FALSE)</f>
        <v>2</v>
      </c>
      <c r="G18" s="43">
        <f>VLOOKUP($A18,[0]!Data,57,FALSE)</f>
        <v>0</v>
      </c>
      <c r="H18" s="43">
        <f>VLOOKUP($A18,[0]!Data,58,FALSE)</f>
        <v>0</v>
      </c>
      <c r="I18" s="83">
        <f>VLOOKUP($A18,[0]!Data,61,FALSE)</f>
        <v>7100</v>
      </c>
    </row>
    <row r="19" spans="1:9" x14ac:dyDescent="0.25">
      <c r="A19" s="40" t="s">
        <v>947</v>
      </c>
      <c r="B19" s="41" t="s">
        <v>1938</v>
      </c>
      <c r="C19" s="42"/>
      <c r="D19" s="43">
        <v>88601</v>
      </c>
      <c r="E19" s="82">
        <f>VLOOKUP($A19,[0]!Data,55,FALSE)</f>
        <v>1</v>
      </c>
      <c r="F19" s="43">
        <f>VLOOKUP($A19,[0]!Data,56,FALSE)</f>
        <v>1</v>
      </c>
      <c r="G19" s="43">
        <f>VLOOKUP($A19,[0]!Data,57,FALSE)</f>
        <v>0</v>
      </c>
      <c r="H19" s="43">
        <f>VLOOKUP($A19,[0]!Data,58,FALSE)</f>
        <v>1</v>
      </c>
      <c r="I19" s="83">
        <f>VLOOKUP($A19,[0]!Data,61,FALSE)</f>
        <v>3597</v>
      </c>
    </row>
    <row r="20" spans="1:9" x14ac:dyDescent="0.25">
      <c r="A20" s="40" t="s">
        <v>961</v>
      </c>
      <c r="B20" s="41" t="s">
        <v>1939</v>
      </c>
      <c r="C20" s="42"/>
      <c r="D20" s="43">
        <v>57182</v>
      </c>
      <c r="E20" s="82">
        <f>VLOOKUP($A20,[0]!Data,55,FALSE)</f>
        <v>1</v>
      </c>
      <c r="F20" s="43">
        <f>VLOOKUP($A20,[0]!Data,56,FALSE)</f>
        <v>5</v>
      </c>
      <c r="G20" s="43">
        <f>VLOOKUP($A20,[0]!Data,57,FALSE)</f>
        <v>1</v>
      </c>
      <c r="H20" s="43">
        <f>VLOOKUP($A20,[0]!Data,58,FALSE)</f>
        <v>2</v>
      </c>
      <c r="I20" s="83">
        <f>VLOOKUP($A20,[0]!Data,61,FALSE)</f>
        <v>13244</v>
      </c>
    </row>
    <row r="21" spans="1:9" x14ac:dyDescent="0.25">
      <c r="A21" s="40" t="s">
        <v>991</v>
      </c>
      <c r="B21" s="41" t="s">
        <v>1940</v>
      </c>
      <c r="C21" s="42"/>
      <c r="D21" s="43">
        <v>329824</v>
      </c>
      <c r="E21" s="82">
        <f>VLOOKUP($A21,[0]!Data,55,FALSE)</f>
        <v>1</v>
      </c>
      <c r="F21" s="43">
        <f>VLOOKUP($A21,[0]!Data,56,FALSE)</f>
        <v>8</v>
      </c>
      <c r="G21" s="43">
        <f>VLOOKUP($A21,[0]!Data,57,FALSE)</f>
        <v>0</v>
      </c>
      <c r="H21" s="43">
        <f>VLOOKUP($A21,[0]!Data,58,FALSE)</f>
        <v>1</v>
      </c>
      <c r="I21" s="83">
        <f>VLOOKUP($A21,[0]!Data,61,FALSE)</f>
        <v>30108</v>
      </c>
    </row>
    <row r="22" spans="1:9" x14ac:dyDescent="0.25">
      <c r="A22" s="40" t="s">
        <v>1007</v>
      </c>
      <c r="B22" s="41" t="s">
        <v>1941</v>
      </c>
      <c r="C22" s="42"/>
      <c r="D22" s="43">
        <v>160128</v>
      </c>
      <c r="E22" s="82">
        <f>VLOOKUP($A22,[0]!Data,55,FALSE)</f>
        <v>1</v>
      </c>
      <c r="F22" s="43">
        <f>VLOOKUP($A22,[0]!Data,56,FALSE)</f>
        <v>4</v>
      </c>
      <c r="G22" s="43">
        <f>VLOOKUP($A22,[0]!Data,57,FALSE)</f>
        <v>1</v>
      </c>
      <c r="H22" s="43">
        <f>VLOOKUP($A22,[0]!Data,58,FALSE)</f>
        <v>0</v>
      </c>
      <c r="I22" s="83">
        <f>VLOOKUP($A22,[0]!Data,61,FALSE)</f>
        <v>16172</v>
      </c>
    </row>
    <row r="23" spans="1:9" x14ac:dyDescent="0.25">
      <c r="A23" s="40" t="s">
        <v>1024</v>
      </c>
      <c r="B23" s="41" t="s">
        <v>1942</v>
      </c>
      <c r="C23" s="42"/>
      <c r="D23" s="43">
        <v>42211</v>
      </c>
      <c r="E23" s="82">
        <f>VLOOKUP($A23,[0]!Data,55,FALSE)</f>
        <v>1</v>
      </c>
      <c r="F23" s="43">
        <f>VLOOKUP($A23,[0]!Data,56,FALSE)</f>
        <v>1</v>
      </c>
      <c r="G23" s="43">
        <f>VLOOKUP($A23,[0]!Data,57,FALSE)</f>
        <v>0</v>
      </c>
      <c r="H23" s="43">
        <f>VLOOKUP($A23,[0]!Data,58,FALSE)</f>
        <v>1</v>
      </c>
      <c r="I23" s="83">
        <f>VLOOKUP($A23,[0]!Data,61,FALSE)</f>
        <v>4638</v>
      </c>
    </row>
    <row r="24" spans="1:9" x14ac:dyDescent="0.25">
      <c r="A24" s="40" t="s">
        <v>1037</v>
      </c>
      <c r="B24" s="41" t="s">
        <v>1943</v>
      </c>
      <c r="C24" s="42"/>
      <c r="D24" s="43">
        <v>59597</v>
      </c>
      <c r="E24" s="82">
        <f>VLOOKUP($A24,[0]!Data,55,FALSE)</f>
        <v>1</v>
      </c>
      <c r="F24" s="43">
        <f>VLOOKUP($A24,[0]!Data,56,FALSE)</f>
        <v>5</v>
      </c>
      <c r="G24" s="43">
        <f>VLOOKUP($A24,[0]!Data,57,FALSE)</f>
        <v>0</v>
      </c>
      <c r="H24" s="43">
        <f>VLOOKUP($A24,[0]!Data,58,FALSE)</f>
        <v>0</v>
      </c>
      <c r="I24" s="83">
        <f>VLOOKUP($A24,[0]!Data,61,FALSE)</f>
        <v>7624</v>
      </c>
    </row>
    <row r="25" spans="1:9" x14ac:dyDescent="0.25">
      <c r="A25" s="40" t="s">
        <v>1053</v>
      </c>
      <c r="B25" s="41" t="s">
        <v>1944</v>
      </c>
      <c r="C25" s="42"/>
      <c r="D25" s="43">
        <v>298360</v>
      </c>
      <c r="E25" s="82">
        <f>VLOOKUP($A25,[0]!Data,55,FALSE)</f>
        <v>0</v>
      </c>
      <c r="F25" s="43">
        <f>VLOOKUP($A25,[0]!Data,56,FALSE)</f>
        <v>7</v>
      </c>
      <c r="G25" s="43">
        <f>VLOOKUP($A25,[0]!Data,57,FALSE)</f>
        <v>1</v>
      </c>
      <c r="H25" s="43">
        <f>VLOOKUP($A25,[0]!Data,58,FALSE)</f>
        <v>2</v>
      </c>
      <c r="I25" s="83">
        <f>VLOOKUP($A25,[0]!Data,61,FALSE)</f>
        <v>18114</v>
      </c>
    </row>
    <row r="26" spans="1:9" x14ac:dyDescent="0.25">
      <c r="A26" s="40" t="s">
        <v>1086</v>
      </c>
      <c r="B26" s="41" t="s">
        <v>1945</v>
      </c>
      <c r="C26" s="42"/>
      <c r="D26" s="43">
        <v>53502</v>
      </c>
      <c r="E26" s="82">
        <f>VLOOKUP($A26,[0]!Data,55,FALSE)</f>
        <v>1</v>
      </c>
      <c r="F26" s="43">
        <f>VLOOKUP($A26,[0]!Data,56,FALSE)</f>
        <v>1</v>
      </c>
      <c r="G26" s="43">
        <f>VLOOKUP($A26,[0]!Data,57,FALSE)</f>
        <v>0</v>
      </c>
      <c r="H26" s="43">
        <f>VLOOKUP($A26,[0]!Data,58,FALSE)</f>
        <v>1</v>
      </c>
      <c r="I26" s="83">
        <f>VLOOKUP($A26,[0]!Data,61,FALSE)</f>
        <v>4750</v>
      </c>
    </row>
    <row r="27" spans="1:9" x14ac:dyDescent="0.25">
      <c r="A27" s="40" t="s">
        <v>1132</v>
      </c>
      <c r="B27" s="41" t="s">
        <v>1946</v>
      </c>
      <c r="C27" s="42"/>
      <c r="D27" s="43">
        <v>369113</v>
      </c>
      <c r="E27" s="82">
        <f>VLOOKUP($A27,[0]!Data,55,FALSE)</f>
        <v>1</v>
      </c>
      <c r="F27" s="43">
        <f>VLOOKUP($A27,[0]!Data,56,FALSE)</f>
        <v>11</v>
      </c>
      <c r="G27" s="43">
        <f>VLOOKUP($A27,[0]!Data,57,FALSE)</f>
        <v>2</v>
      </c>
      <c r="H27" s="43">
        <f>VLOOKUP($A27,[0]!Data,58,FALSE)</f>
        <v>4</v>
      </c>
      <c r="I27" s="83">
        <f>VLOOKUP($A27,[0]!Data,61,FALSE)</f>
        <v>33265</v>
      </c>
    </row>
    <row r="28" spans="1:9" x14ac:dyDescent="0.25">
      <c r="A28" s="40" t="s">
        <v>1146</v>
      </c>
      <c r="B28" s="41" t="s">
        <v>1947</v>
      </c>
      <c r="C28" s="42"/>
      <c r="D28" s="43">
        <v>65445</v>
      </c>
      <c r="E28" s="82">
        <f>VLOOKUP($A28,[0]!Data,55,FALSE)</f>
        <v>1</v>
      </c>
      <c r="F28" s="43">
        <f>VLOOKUP($A28,[0]!Data,56,FALSE)</f>
        <v>3</v>
      </c>
      <c r="G28" s="43">
        <f>VLOOKUP($A28,[0]!Data,57,FALSE)</f>
        <v>1</v>
      </c>
      <c r="H28" s="43">
        <f>VLOOKUP($A28,[0]!Data,58,FALSE)</f>
        <v>0</v>
      </c>
      <c r="I28" s="83">
        <f>VLOOKUP($A28,[0]!Data,61,FALSE)</f>
        <v>9430</v>
      </c>
    </row>
    <row r="29" spans="1:9" x14ac:dyDescent="0.25">
      <c r="A29" s="40" t="s">
        <v>1161</v>
      </c>
      <c r="B29" s="41" t="s">
        <v>1176</v>
      </c>
      <c r="C29" s="42"/>
      <c r="D29" s="43">
        <v>214413</v>
      </c>
      <c r="E29" s="82">
        <f>VLOOKUP($A29,[0]!Data,55,FALSE)</f>
        <v>1</v>
      </c>
      <c r="F29" s="43">
        <f>VLOOKUP($A29,[0]!Data,56,FALSE)</f>
        <v>9</v>
      </c>
      <c r="G29" s="43">
        <f>VLOOKUP($A29,[0]!Data,57,FALSE)</f>
        <v>0</v>
      </c>
      <c r="H29" s="43">
        <f>VLOOKUP($A29,[0]!Data,58,FALSE)</f>
        <v>0</v>
      </c>
      <c r="I29" s="83">
        <f>VLOOKUP($A29,[0]!Data,61,FALSE)</f>
        <v>14222</v>
      </c>
    </row>
    <row r="30" spans="1:9" x14ac:dyDescent="0.25">
      <c r="A30" s="40" t="s">
        <v>1187</v>
      </c>
      <c r="B30" s="41" t="s">
        <v>1948</v>
      </c>
      <c r="C30" s="42"/>
      <c r="D30" s="43">
        <v>59433</v>
      </c>
      <c r="E30" s="82">
        <f>VLOOKUP($A30,[0]!Data,55,FALSE)</f>
        <v>1</v>
      </c>
      <c r="F30" s="43">
        <f>VLOOKUP($A30,[0]!Data,56,FALSE)</f>
        <v>3</v>
      </c>
      <c r="G30" s="43">
        <f>VLOOKUP($A30,[0]!Data,57,FALSE)</f>
        <v>0</v>
      </c>
      <c r="H30" s="43">
        <f>VLOOKUP($A30,[0]!Data,58,FALSE)</f>
        <v>3</v>
      </c>
      <c r="I30" s="83">
        <f>VLOOKUP($A30,[0]!Data,61,FALSE)</f>
        <v>7644</v>
      </c>
    </row>
    <row r="31" spans="1:9" x14ac:dyDescent="0.25">
      <c r="A31" s="40" t="s">
        <v>1201</v>
      </c>
      <c r="B31" s="41" t="s">
        <v>1949</v>
      </c>
      <c r="C31" s="42"/>
      <c r="D31" s="43">
        <v>416036</v>
      </c>
      <c r="E31" s="82">
        <f>VLOOKUP($A31,[0]!Data,55,FALSE)</f>
        <v>1</v>
      </c>
      <c r="F31" s="43">
        <f>VLOOKUP($A31,[0]!Data,56,FALSE)</f>
        <v>7</v>
      </c>
      <c r="G31" s="43">
        <f>VLOOKUP($A31,[0]!Data,57,FALSE)</f>
        <v>0</v>
      </c>
      <c r="H31" s="43">
        <f>VLOOKUP($A31,[0]!Data,58,FALSE)</f>
        <v>0</v>
      </c>
      <c r="I31" s="83">
        <f>VLOOKUP($A31,[0]!Data,61,FALSE)</f>
        <v>27652</v>
      </c>
    </row>
    <row r="32" spans="1:9" x14ac:dyDescent="0.25">
      <c r="A32" s="40" t="s">
        <v>1218</v>
      </c>
      <c r="B32" s="41" t="s">
        <v>1950</v>
      </c>
      <c r="C32" s="42"/>
      <c r="D32" s="43">
        <v>37059</v>
      </c>
      <c r="E32" s="82">
        <f>VLOOKUP($A32,[0]!Data,55,FALSE)</f>
        <v>1</v>
      </c>
      <c r="F32" s="43">
        <f>VLOOKUP($A32,[0]!Data,56,FALSE)</f>
        <v>4</v>
      </c>
      <c r="G32" s="43">
        <f>VLOOKUP($A32,[0]!Data,57,FALSE)</f>
        <v>0</v>
      </c>
      <c r="H32" s="43">
        <f>VLOOKUP($A32,[0]!Data,58,FALSE)</f>
        <v>1</v>
      </c>
      <c r="I32" s="83">
        <f>VLOOKUP($A32,[0]!Data,61,FALSE)</f>
        <v>12428</v>
      </c>
    </row>
    <row r="33" spans="1:9" x14ac:dyDescent="0.25">
      <c r="A33" s="40" t="s">
        <v>1232</v>
      </c>
      <c r="B33" s="41" t="s">
        <v>1951</v>
      </c>
      <c r="C33" s="42"/>
      <c r="D33" s="43">
        <v>128783</v>
      </c>
      <c r="E33" s="82">
        <f>VLOOKUP($A33,[0]!Data,55,FALSE)</f>
        <v>1</v>
      </c>
      <c r="F33" s="43">
        <f>VLOOKUP($A33,[0]!Data,56,FALSE)</f>
        <v>6</v>
      </c>
      <c r="G33" s="43">
        <f>VLOOKUP($A33,[0]!Data,57,FALSE)</f>
        <v>0</v>
      </c>
      <c r="H33" s="43">
        <f>VLOOKUP($A33,[0]!Data,58,FALSE)</f>
        <v>1</v>
      </c>
      <c r="I33" s="83">
        <f>VLOOKUP($A33,[0]!Data,61,FALSE)</f>
        <v>11345</v>
      </c>
    </row>
    <row r="34" spans="1:9" x14ac:dyDescent="0.25">
      <c r="A34" s="40" t="s">
        <v>1256</v>
      </c>
      <c r="B34" s="41" t="s">
        <v>1952</v>
      </c>
      <c r="C34" s="42"/>
      <c r="D34" s="43">
        <v>61771</v>
      </c>
      <c r="E34" s="82">
        <f>VLOOKUP($A34,[0]!Data,55,FALSE)</f>
        <v>1</v>
      </c>
      <c r="F34" s="43">
        <f>VLOOKUP($A34,[0]!Data,56,FALSE)</f>
        <v>3</v>
      </c>
      <c r="G34" s="43">
        <f>VLOOKUP($A34,[0]!Data,57,FALSE)</f>
        <v>0</v>
      </c>
      <c r="H34" s="43">
        <f>VLOOKUP($A34,[0]!Data,58,FALSE)</f>
        <v>1</v>
      </c>
      <c r="I34" s="83">
        <f>VLOOKUP($A34,[0]!Data,61,FALSE)</f>
        <v>7022</v>
      </c>
    </row>
    <row r="35" spans="1:9" x14ac:dyDescent="0.25">
      <c r="A35" s="40" t="s">
        <v>1268</v>
      </c>
      <c r="B35" s="41" t="s">
        <v>1953</v>
      </c>
      <c r="C35" s="42"/>
      <c r="D35" s="43">
        <v>114385</v>
      </c>
      <c r="E35" s="82">
        <f>VLOOKUP($A35,[0]!Data,55,FALSE)</f>
        <v>1</v>
      </c>
      <c r="F35" s="43">
        <f>VLOOKUP($A35,[0]!Data,56,FALSE)</f>
        <v>5</v>
      </c>
      <c r="G35" s="43">
        <f>VLOOKUP($A35,[0]!Data,57,FALSE)</f>
        <v>0</v>
      </c>
      <c r="H35" s="43">
        <f>VLOOKUP($A35,[0]!Data,58,FALSE)</f>
        <v>0</v>
      </c>
      <c r="I35" s="83">
        <f>VLOOKUP($A35,[0]!Data,61,FALSE)</f>
        <v>13600</v>
      </c>
    </row>
    <row r="36" spans="1:9" x14ac:dyDescent="0.25">
      <c r="A36" s="40" t="s">
        <v>1328</v>
      </c>
      <c r="B36" s="41" t="s">
        <v>1954</v>
      </c>
      <c r="C36" s="42"/>
      <c r="D36" s="43">
        <v>134323</v>
      </c>
      <c r="E36" s="82">
        <f>VLOOKUP($A36,[0]!Data,55,FALSE)</f>
        <v>1</v>
      </c>
      <c r="F36" s="43">
        <f>VLOOKUP($A36,[0]!Data,56,FALSE)</f>
        <v>2</v>
      </c>
      <c r="G36" s="43">
        <f>VLOOKUP($A36,[0]!Data,57,FALSE)</f>
        <v>0</v>
      </c>
      <c r="H36" s="43">
        <f>VLOOKUP($A36,[0]!Data,58,FALSE)</f>
        <v>0</v>
      </c>
      <c r="I36" s="83">
        <f>VLOOKUP($A36,[0]!Data,61,FALSE)</f>
        <v>9048</v>
      </c>
    </row>
    <row r="37" spans="1:9" x14ac:dyDescent="0.25">
      <c r="A37" s="40" t="s">
        <v>1585</v>
      </c>
      <c r="B37" s="41" t="s">
        <v>1316</v>
      </c>
      <c r="C37" s="42"/>
      <c r="D37" s="43">
        <v>170033</v>
      </c>
      <c r="E37" s="82">
        <f>VLOOKUP($A37,[0]!Data,55,FALSE)</f>
        <v>1</v>
      </c>
      <c r="F37" s="43">
        <f>VLOOKUP($A37,[0]!Data,56,FALSE)</f>
        <v>5</v>
      </c>
      <c r="G37" s="43">
        <f>VLOOKUP($A37,[0]!Data,57,FALSE)</f>
        <v>0</v>
      </c>
      <c r="H37" s="43">
        <f>VLOOKUP($A37,[0]!Data,58,FALSE)</f>
        <v>1</v>
      </c>
      <c r="I37" s="83">
        <f>VLOOKUP($A37,[0]!Data,61,FALSE)</f>
        <v>12298</v>
      </c>
    </row>
    <row r="38" spans="1:9" x14ac:dyDescent="0.25">
      <c r="A38" s="40" t="s">
        <v>1352</v>
      </c>
      <c r="B38" s="41" t="s">
        <v>1955</v>
      </c>
      <c r="C38" s="42"/>
      <c r="D38" s="43">
        <v>59244</v>
      </c>
      <c r="E38" s="82">
        <f>VLOOKUP($A38,[0]!Data,55,FALSE)</f>
        <v>1</v>
      </c>
      <c r="F38" s="43">
        <f>VLOOKUP($A38,[0]!Data,56,FALSE)</f>
        <v>1</v>
      </c>
      <c r="G38" s="43">
        <f>VLOOKUP($A38,[0]!Data,57,FALSE)</f>
        <v>0</v>
      </c>
      <c r="H38" s="43">
        <f>VLOOKUP($A38,[0]!Data,58,FALSE)</f>
        <v>2</v>
      </c>
      <c r="I38" s="83">
        <f>VLOOKUP($A38,[0]!Data,61,FALSE)</f>
        <v>3484</v>
      </c>
    </row>
    <row r="39" spans="1:9" x14ac:dyDescent="0.25">
      <c r="A39" s="40" t="s">
        <v>1365</v>
      </c>
      <c r="B39" s="41" t="s">
        <v>1956</v>
      </c>
      <c r="C39" s="42"/>
      <c r="D39" s="43">
        <v>82033</v>
      </c>
      <c r="E39" s="82">
        <f>VLOOKUP($A39,[0]!Data,55,FALSE)</f>
        <v>1</v>
      </c>
      <c r="F39" s="43">
        <f>VLOOKUP($A39,[0]!Data,56,FALSE)</f>
        <v>2</v>
      </c>
      <c r="G39" s="43">
        <f>VLOOKUP($A39,[0]!Data,57,FALSE)</f>
        <v>0</v>
      </c>
      <c r="H39" s="43">
        <f>VLOOKUP($A39,[0]!Data,58,FALSE)</f>
        <v>1</v>
      </c>
      <c r="I39" s="83">
        <f>VLOOKUP($A39,[0]!Data,61,FALSE)</f>
        <v>7529</v>
      </c>
    </row>
    <row r="40" spans="1:9" x14ac:dyDescent="0.25">
      <c r="A40" s="40" t="s">
        <v>1383</v>
      </c>
      <c r="B40" s="41" t="s">
        <v>1957</v>
      </c>
      <c r="C40" s="42"/>
      <c r="D40" s="43">
        <v>21979</v>
      </c>
      <c r="E40" s="82">
        <f>VLOOKUP($A40,[0]!Data,55,FALSE)</f>
        <v>1</v>
      </c>
      <c r="F40" s="43">
        <f>VLOOKUP($A40,[0]!Data,56,FALSE)</f>
        <v>2</v>
      </c>
      <c r="G40" s="43">
        <f>VLOOKUP($A40,[0]!Data,57,FALSE)</f>
        <v>0</v>
      </c>
      <c r="H40" s="43">
        <f>VLOOKUP($A40,[0]!Data,58,FALSE)</f>
        <v>0</v>
      </c>
      <c r="I40" s="83">
        <f>VLOOKUP($A40,[0]!Data,61,FALSE)</f>
        <v>6697</v>
      </c>
    </row>
    <row r="41" spans="1:9" x14ac:dyDescent="0.25">
      <c r="A41" s="40" t="s">
        <v>1397</v>
      </c>
      <c r="B41" s="41" t="s">
        <v>1958</v>
      </c>
      <c r="C41" s="42"/>
      <c r="D41" s="43">
        <v>45510</v>
      </c>
      <c r="E41" s="82">
        <f>VLOOKUP($A41,[0]!Data,55,FALSE)</f>
        <v>1</v>
      </c>
      <c r="F41" s="43">
        <f>VLOOKUP($A41,[0]!Data,56,FALSE)</f>
        <v>1</v>
      </c>
      <c r="G41" s="43">
        <f>VLOOKUP($A41,[0]!Data,57,FALSE)</f>
        <v>0</v>
      </c>
      <c r="H41" s="43">
        <f>VLOOKUP($A41,[0]!Data,58,FALSE)</f>
        <v>0</v>
      </c>
      <c r="I41" s="83">
        <f>VLOOKUP($A41,[0]!Data,61,FALSE)</f>
        <v>4186</v>
      </c>
    </row>
    <row r="42" spans="1:9" x14ac:dyDescent="0.25">
      <c r="A42" s="40" t="s">
        <v>915</v>
      </c>
      <c r="B42" s="41" t="s">
        <v>1959</v>
      </c>
      <c r="C42" s="42"/>
      <c r="D42" s="43">
        <v>1053545</v>
      </c>
      <c r="E42" s="82">
        <f>VLOOKUP($A42,[0]!Data,55,FALSE)</f>
        <v>1</v>
      </c>
      <c r="F42" s="43">
        <f>VLOOKUP($A42,[0]!Data,56,FALSE)</f>
        <v>19</v>
      </c>
      <c r="G42" s="43">
        <f>VLOOKUP($A42,[0]!Data,57,FALSE)</f>
        <v>0</v>
      </c>
      <c r="H42" s="43">
        <f>VLOOKUP($A42,[0]!Data,58,FALSE)</f>
        <v>0</v>
      </c>
      <c r="I42" s="83">
        <f>VLOOKUP($A42,[0]!Data,61,FALSE)</f>
        <v>61912</v>
      </c>
    </row>
    <row r="43" spans="1:9" x14ac:dyDescent="0.25">
      <c r="A43" s="40" t="s">
        <v>789</v>
      </c>
      <c r="B43" s="41" t="s">
        <v>1960</v>
      </c>
      <c r="C43" s="42"/>
      <c r="D43" s="43">
        <v>89190</v>
      </c>
      <c r="E43" s="82">
        <f>VLOOKUP($A43,[0]!Data,55,FALSE)</f>
        <v>1</v>
      </c>
      <c r="F43" s="43">
        <f>VLOOKUP($A43,[0]!Data,56,FALSE)</f>
        <v>2</v>
      </c>
      <c r="G43" s="43">
        <f>VLOOKUP($A43,[0]!Data,57,FALSE)</f>
        <v>0</v>
      </c>
      <c r="H43" s="43">
        <f>VLOOKUP($A43,[0]!Data,58,FALSE)</f>
        <v>3</v>
      </c>
      <c r="I43" s="83">
        <f>VLOOKUP($A43,[0]!Data,61,FALSE)</f>
        <v>4628</v>
      </c>
    </row>
    <row r="44" spans="1:9" x14ac:dyDescent="0.25">
      <c r="A44" s="40" t="s">
        <v>1456</v>
      </c>
      <c r="B44" s="41" t="s">
        <v>1961</v>
      </c>
      <c r="C44" s="42"/>
      <c r="D44" s="43">
        <v>223608</v>
      </c>
      <c r="E44" s="82">
        <f>VLOOKUP($A44,[0]!Data,55,FALSE)</f>
        <v>1</v>
      </c>
      <c r="F44" s="43">
        <f>VLOOKUP($A44,[0]!Data,56,FALSE)</f>
        <v>3</v>
      </c>
      <c r="G44" s="43">
        <f>VLOOKUP($A44,[0]!Data,57,FALSE)</f>
        <v>0</v>
      </c>
      <c r="H44" s="43">
        <f>VLOOKUP($A44,[0]!Data,58,FALSE)</f>
        <v>1</v>
      </c>
      <c r="I44" s="83">
        <f>VLOOKUP($A44,[0]!Data,61,FALSE)</f>
        <v>11856</v>
      </c>
    </row>
    <row r="45" spans="1:9" x14ac:dyDescent="0.25">
      <c r="A45" s="40" t="s">
        <v>1489</v>
      </c>
      <c r="B45" s="41" t="s">
        <v>1962</v>
      </c>
      <c r="C45" s="42"/>
      <c r="D45" s="43">
        <v>193914</v>
      </c>
      <c r="E45" s="82">
        <f>VLOOKUP($A45,[0]!Data,55,FALSE)</f>
        <v>1</v>
      </c>
      <c r="F45" s="43">
        <f>VLOOKUP($A45,[0]!Data,56,FALSE)</f>
        <v>3</v>
      </c>
      <c r="G45" s="43">
        <f>VLOOKUP($A45,[0]!Data,57,FALSE)</f>
        <v>0</v>
      </c>
      <c r="H45" s="43">
        <f>VLOOKUP($A45,[0]!Data,58,FALSE)</f>
        <v>0</v>
      </c>
      <c r="I45" s="83">
        <f>VLOOKUP($A45,[0]!Data,61,FALSE)</f>
        <v>10852</v>
      </c>
    </row>
    <row r="46" spans="1:9" x14ac:dyDescent="0.25">
      <c r="A46" s="40" t="s">
        <v>1501</v>
      </c>
      <c r="B46" s="41" t="s">
        <v>1516</v>
      </c>
      <c r="C46" s="42"/>
      <c r="D46" s="43">
        <v>84161</v>
      </c>
      <c r="E46" s="82">
        <f>VLOOKUP($A46,[0]!Data,55,FALSE)</f>
        <v>1</v>
      </c>
      <c r="F46" s="43">
        <f>VLOOKUP($A46,[0]!Data,56,FALSE)</f>
        <v>2</v>
      </c>
      <c r="G46" s="43">
        <f>VLOOKUP($A46,[0]!Data,57,FALSE)</f>
        <v>0</v>
      </c>
      <c r="H46" s="43">
        <f>VLOOKUP($A46,[0]!Data,58,FALSE)</f>
        <v>0</v>
      </c>
      <c r="I46" s="83">
        <f>VLOOKUP($A46,[0]!Data,61,FALSE)</f>
        <v>6916</v>
      </c>
    </row>
    <row r="47" spans="1:9" x14ac:dyDescent="0.25">
      <c r="A47" s="40" t="s">
        <v>1518</v>
      </c>
      <c r="B47" s="41" t="s">
        <v>1963</v>
      </c>
      <c r="C47" s="42"/>
      <c r="D47" s="43">
        <v>59459</v>
      </c>
      <c r="E47" s="82">
        <f>VLOOKUP($A47,[0]!Data,55,FALSE)</f>
        <v>1</v>
      </c>
      <c r="F47" s="43">
        <f>VLOOKUP($A47,[0]!Data,56,FALSE)</f>
        <v>1</v>
      </c>
      <c r="G47" s="43">
        <f>VLOOKUP($A47,[0]!Data,57,FALSE)</f>
        <v>0</v>
      </c>
      <c r="H47" s="43">
        <f>VLOOKUP($A47,[0]!Data,58,FALSE)</f>
        <v>0</v>
      </c>
      <c r="I47" s="83">
        <f>VLOOKUP($A47,[0]!Data,61,FALSE)</f>
        <v>4556</v>
      </c>
    </row>
    <row r="48" spans="1:9" x14ac:dyDescent="0.25">
      <c r="A48" s="40" t="s">
        <v>1544</v>
      </c>
      <c r="B48" s="41" t="s">
        <v>1964</v>
      </c>
      <c r="C48" s="42"/>
      <c r="D48" s="43">
        <v>39728</v>
      </c>
      <c r="E48" s="82">
        <f>VLOOKUP($A48,[0]!Data,55,FALSE)</f>
        <v>1</v>
      </c>
      <c r="F48" s="43">
        <f>VLOOKUP($A48,[0]!Data,56,FALSE)</f>
        <v>0</v>
      </c>
      <c r="G48" s="43">
        <f>VLOOKUP($A48,[0]!Data,57,FALSE)</f>
        <v>0</v>
      </c>
      <c r="H48" s="43">
        <f>VLOOKUP($A48,[0]!Data,58,FALSE)</f>
        <v>1</v>
      </c>
      <c r="I48" s="83">
        <f>VLOOKUP($A48,[0]!Data,61,FALSE)</f>
        <v>3020</v>
      </c>
    </row>
    <row r="49" spans="1:9" x14ac:dyDescent="0.25">
      <c r="A49" s="40" t="s">
        <v>1727</v>
      </c>
      <c r="B49" s="41" t="s">
        <v>1965</v>
      </c>
      <c r="C49" s="42"/>
      <c r="D49" s="43">
        <v>171215</v>
      </c>
      <c r="E49" s="82">
        <f>VLOOKUP($A49,[0]!Data,55,FALSE)</f>
        <v>1</v>
      </c>
      <c r="F49" s="43">
        <f>VLOOKUP($A49,[0]!Data,56,FALSE)</f>
        <v>4</v>
      </c>
      <c r="G49" s="43">
        <f>VLOOKUP($A49,[0]!Data,57,FALSE)</f>
        <v>1</v>
      </c>
      <c r="H49" s="43">
        <f>VLOOKUP($A49,[0]!Data,58,FALSE)</f>
        <v>0</v>
      </c>
      <c r="I49" s="83">
        <f>VLOOKUP($A49,[0]!Data,61,FALSE)</f>
        <v>14478</v>
      </c>
    </row>
    <row r="50" spans="1:9" x14ac:dyDescent="0.25">
      <c r="A50" s="40" t="s">
        <v>1573</v>
      </c>
      <c r="B50" s="41" t="s">
        <v>1966</v>
      </c>
      <c r="C50" s="42"/>
      <c r="D50" s="43">
        <v>21030</v>
      </c>
      <c r="E50" s="82">
        <f>VLOOKUP($A50,[0]!Data,55,FALSE)</f>
        <v>1</v>
      </c>
      <c r="F50" s="43">
        <f>VLOOKUP($A50,[0]!Data,56,FALSE)</f>
        <v>1</v>
      </c>
      <c r="G50" s="43">
        <f>VLOOKUP($A50,[0]!Data,57,FALSE)</f>
        <v>0</v>
      </c>
      <c r="H50" s="43">
        <f>VLOOKUP($A50,[0]!Data,58,FALSE)</f>
        <v>1</v>
      </c>
      <c r="I50" s="83">
        <f>VLOOKUP($A50,[0]!Data,61,FALSE)</f>
        <v>5350</v>
      </c>
    </row>
    <row r="51" spans="1:9" x14ac:dyDescent="0.25">
      <c r="A51" s="40" t="s">
        <v>1597</v>
      </c>
      <c r="B51" s="41" t="s">
        <v>1967</v>
      </c>
      <c r="C51" s="42"/>
      <c r="D51" s="43">
        <v>143701</v>
      </c>
      <c r="E51" s="82">
        <f>VLOOKUP($A51,[0]!Data,55,FALSE)</f>
        <v>1</v>
      </c>
      <c r="F51" s="43">
        <f>VLOOKUP($A51,[0]!Data,56,FALSE)</f>
        <v>6</v>
      </c>
      <c r="G51" s="43">
        <f>VLOOKUP($A51,[0]!Data,57,FALSE)</f>
        <v>0</v>
      </c>
      <c r="H51" s="43">
        <f>VLOOKUP($A51,[0]!Data,58,FALSE)</f>
        <v>3</v>
      </c>
      <c r="I51" s="83">
        <f>VLOOKUP($A51,[0]!Data,61,FALSE)</f>
        <v>16406</v>
      </c>
    </row>
    <row r="52" spans="1:9" x14ac:dyDescent="0.25">
      <c r="A52" s="40" t="s">
        <v>1625</v>
      </c>
      <c r="B52" s="41" t="s">
        <v>1968</v>
      </c>
      <c r="C52" s="42"/>
      <c r="D52" s="43">
        <v>132657</v>
      </c>
      <c r="E52" s="82">
        <f>VLOOKUP($A52,[0]!Data,55,FALSE)</f>
        <v>1</v>
      </c>
      <c r="F52" s="43">
        <f>VLOOKUP($A52,[0]!Data,56,FALSE)</f>
        <v>6</v>
      </c>
      <c r="G52" s="43">
        <f>VLOOKUP($A52,[0]!Data,57,FALSE)</f>
        <v>0</v>
      </c>
      <c r="H52" s="43">
        <f>VLOOKUP($A52,[0]!Data,58,FALSE)</f>
        <v>2</v>
      </c>
      <c r="I52" s="83">
        <f>VLOOKUP($A52,[0]!Data,61,FALSE)</f>
        <v>12314</v>
      </c>
    </row>
    <row r="53" spans="1:9" x14ac:dyDescent="0.25">
      <c r="A53" s="40" t="s">
        <v>1638</v>
      </c>
      <c r="B53" s="41" t="s">
        <v>1969</v>
      </c>
      <c r="C53" s="42"/>
      <c r="D53" s="43">
        <v>91891</v>
      </c>
      <c r="E53" s="82">
        <f>VLOOKUP($A53,[0]!Data,55,FALSE)</f>
        <v>0</v>
      </c>
      <c r="F53" s="43">
        <f>VLOOKUP($A53,[0]!Data,56,FALSE)</f>
        <v>4</v>
      </c>
      <c r="G53" s="43">
        <f>VLOOKUP($A53,[0]!Data,57,FALSE)</f>
        <v>1</v>
      </c>
      <c r="H53" s="43">
        <f>VLOOKUP($A53,[0]!Data,58,FALSE)</f>
        <v>1</v>
      </c>
      <c r="I53" s="83">
        <f>VLOOKUP($A53,[0]!Data,61,FALSE)</f>
        <v>12324</v>
      </c>
    </row>
    <row r="54" spans="1:9" x14ac:dyDescent="0.25">
      <c r="A54" s="40" t="s">
        <v>1655</v>
      </c>
      <c r="B54" s="41" t="s">
        <v>1970</v>
      </c>
      <c r="C54" s="42"/>
      <c r="D54" s="43">
        <v>140970</v>
      </c>
      <c r="E54" s="82">
        <f>VLOOKUP($A54,[0]!Data,55,FALSE)</f>
        <v>1</v>
      </c>
      <c r="F54" s="43">
        <f>VLOOKUP($A54,[0]!Data,56,FALSE)</f>
        <v>2</v>
      </c>
      <c r="G54" s="43">
        <f>VLOOKUP($A54,[0]!Data,57,FALSE)</f>
        <v>1</v>
      </c>
      <c r="H54" s="43">
        <f>VLOOKUP($A54,[0]!Data,58,FALSE)</f>
        <v>1</v>
      </c>
      <c r="I54" s="83">
        <f>VLOOKUP($A54,[0]!Data,61,FALSE)</f>
        <v>9564</v>
      </c>
    </row>
    <row r="55" spans="1:9" x14ac:dyDescent="0.25">
      <c r="A55" s="40" t="s">
        <v>1671</v>
      </c>
      <c r="B55" s="41" t="s">
        <v>1971</v>
      </c>
      <c r="C55" s="42"/>
      <c r="D55" s="43">
        <v>67703</v>
      </c>
      <c r="E55" s="82">
        <f>VLOOKUP($A55,[0]!Data,55,FALSE)</f>
        <v>1</v>
      </c>
      <c r="F55" s="43">
        <f>VLOOKUP($A55,[0]!Data,56,FALSE)</f>
        <v>2</v>
      </c>
      <c r="G55" s="43">
        <f>VLOOKUP($A55,[0]!Data,57,FALSE)</f>
        <v>0</v>
      </c>
      <c r="H55" s="43">
        <f>VLOOKUP($A55,[0]!Data,58,FALSE)</f>
        <v>1</v>
      </c>
      <c r="I55" s="83">
        <f>VLOOKUP($A55,[0]!Data,61,FALSE)</f>
        <v>6734</v>
      </c>
    </row>
    <row r="56" spans="1:9" x14ac:dyDescent="0.25">
      <c r="A56" s="40" t="s">
        <v>1683</v>
      </c>
      <c r="B56" s="41" t="s">
        <v>1972</v>
      </c>
      <c r="C56" s="42"/>
      <c r="D56" s="43">
        <v>63499</v>
      </c>
      <c r="E56" s="82">
        <f>VLOOKUP($A56,[0]!Data,55,FALSE)</f>
        <v>1</v>
      </c>
      <c r="F56" s="43">
        <f>VLOOKUP($A56,[0]!Data,56,FALSE)</f>
        <v>3</v>
      </c>
      <c r="G56" s="43">
        <f>VLOOKUP($A56,[0]!Data,57,FALSE)</f>
        <v>0</v>
      </c>
      <c r="H56" s="43">
        <f>VLOOKUP($A56,[0]!Data,58,FALSE)</f>
        <v>2</v>
      </c>
      <c r="I56" s="83">
        <f>VLOOKUP($A56,[0]!Data,61,FALSE)</f>
        <v>7644</v>
      </c>
    </row>
    <row r="57" spans="1:9" x14ac:dyDescent="0.25">
      <c r="A57" s="40" t="s">
        <v>1714</v>
      </c>
      <c r="B57" s="41" t="s">
        <v>1973</v>
      </c>
      <c r="C57" s="42"/>
      <c r="D57" s="43">
        <v>35789</v>
      </c>
      <c r="E57" s="82">
        <f>VLOOKUP($A57,[0]!Data,55,FALSE)</f>
        <v>1</v>
      </c>
      <c r="F57" s="43">
        <f>VLOOKUP($A57,[0]!Data,56,FALSE)</f>
        <v>0</v>
      </c>
      <c r="G57" s="43">
        <f>VLOOKUP($A57,[0]!Data,57,FALSE)</f>
        <v>1</v>
      </c>
      <c r="H57" s="43">
        <f>VLOOKUP($A57,[0]!Data,58,FALSE)</f>
        <v>0</v>
      </c>
      <c r="I57" s="83">
        <f>VLOOKUP($A57,[0]!Data,61,FALSE)</f>
        <v>2782</v>
      </c>
    </row>
    <row r="58" spans="1:9" x14ac:dyDescent="0.25">
      <c r="A58" s="40" t="s">
        <v>1756</v>
      </c>
      <c r="B58" s="41" t="s">
        <v>1974</v>
      </c>
      <c r="C58" s="42"/>
      <c r="D58" s="43">
        <v>61751</v>
      </c>
      <c r="E58" s="82">
        <f>VLOOKUP($A58,[0]!Data,55,FALSE)</f>
        <v>1</v>
      </c>
      <c r="F58" s="43">
        <f>VLOOKUP($A58,[0]!Data,56,FALSE)</f>
        <v>4</v>
      </c>
      <c r="G58" s="43">
        <f>VLOOKUP($A58,[0]!Data,57,FALSE)</f>
        <v>0</v>
      </c>
      <c r="H58" s="43">
        <f>VLOOKUP($A58,[0]!Data,58,FALSE)</f>
        <v>0</v>
      </c>
      <c r="I58" s="83">
        <f>VLOOKUP($A58,[0]!Data,61,FALSE)</f>
        <v>8064</v>
      </c>
    </row>
    <row r="59" spans="1:9" x14ac:dyDescent="0.25">
      <c r="A59" s="40" t="s">
        <v>1768</v>
      </c>
      <c r="B59" s="41" t="s">
        <v>1975</v>
      </c>
      <c r="C59" s="42"/>
      <c r="D59" s="43">
        <v>34139</v>
      </c>
      <c r="E59" s="82">
        <f>VLOOKUP($A59,[0]!Data,55,FALSE)</f>
        <v>1</v>
      </c>
      <c r="F59" s="43">
        <f>VLOOKUP($A59,[0]!Data,56,FALSE)</f>
        <v>0</v>
      </c>
      <c r="G59" s="43">
        <f>VLOOKUP($A59,[0]!Data,57,FALSE)</f>
        <v>1</v>
      </c>
      <c r="H59" s="43">
        <f>VLOOKUP($A59,[0]!Data,58,FALSE)</f>
        <v>0</v>
      </c>
      <c r="I59" s="83">
        <f>VLOOKUP($A59,[0]!Data,61,FALSE)</f>
        <v>3440</v>
      </c>
    </row>
    <row r="60" spans="1:9" x14ac:dyDescent="0.25">
      <c r="A60" s="40" t="s">
        <v>1784</v>
      </c>
      <c r="B60" s="41" t="s">
        <v>1976</v>
      </c>
      <c r="C60" s="42"/>
      <c r="D60" s="43">
        <v>223915</v>
      </c>
      <c r="E60" s="82">
        <f>VLOOKUP($A60,[0]!Data,55,FALSE)</f>
        <v>1</v>
      </c>
      <c r="F60" s="43">
        <f>VLOOKUP($A60,[0]!Data,56,FALSE)</f>
        <v>3</v>
      </c>
      <c r="G60" s="43">
        <f>VLOOKUP($A60,[0]!Data,57,FALSE)</f>
        <v>0</v>
      </c>
      <c r="H60" s="43">
        <f>VLOOKUP($A60,[0]!Data,58,FALSE)</f>
        <v>0</v>
      </c>
      <c r="I60" s="83">
        <f>VLOOKUP($A60,[0]!Data,61,FALSE)</f>
        <v>10772</v>
      </c>
    </row>
    <row r="61" spans="1:9" x14ac:dyDescent="0.25">
      <c r="A61" s="40" t="s">
        <v>1531</v>
      </c>
      <c r="B61" s="41" t="s">
        <v>1977</v>
      </c>
      <c r="C61" s="42"/>
      <c r="D61" s="43">
        <v>44945</v>
      </c>
      <c r="E61" s="82">
        <f>VLOOKUP($A61,[0]!Data,55,FALSE)</f>
        <v>1</v>
      </c>
      <c r="F61" s="43">
        <f>VLOOKUP($A61,[0]!Data,56,FALSE)</f>
        <v>0</v>
      </c>
      <c r="G61" s="43">
        <f>VLOOKUP($A61,[0]!Data,57,FALSE)</f>
        <v>0</v>
      </c>
      <c r="H61" s="43">
        <f>VLOOKUP($A61,[0]!Data,58,FALSE)</f>
        <v>0</v>
      </c>
      <c r="I61" s="83">
        <f>VLOOKUP($A61,[0]!Data,61,FALSE)</f>
        <v>2500</v>
      </c>
    </row>
    <row r="62" spans="1:9" x14ac:dyDescent="0.25">
      <c r="A62" s="40" t="s">
        <v>1799</v>
      </c>
      <c r="B62" s="41" t="s">
        <v>1978</v>
      </c>
      <c r="C62" s="42"/>
      <c r="D62" s="43">
        <v>1026748</v>
      </c>
      <c r="E62" s="82">
        <f>VLOOKUP($A62,[0]!Data,55,FALSE)</f>
        <v>0</v>
      </c>
      <c r="F62" s="43">
        <f>VLOOKUP($A62,[0]!Data,56,FALSE)</f>
        <v>22</v>
      </c>
      <c r="G62" s="43">
        <f>VLOOKUP($A62,[0]!Data,57,FALSE)</f>
        <v>0</v>
      </c>
      <c r="H62" s="43">
        <f>VLOOKUP($A62,[0]!Data,58,FALSE)</f>
        <v>1</v>
      </c>
      <c r="I62" s="83">
        <f>VLOOKUP($A62,[0]!Data,61,FALSE)</f>
        <v>64707</v>
      </c>
    </row>
    <row r="63" spans="1:9" x14ac:dyDescent="0.25">
      <c r="A63" s="40" t="s">
        <v>1814</v>
      </c>
      <c r="B63" s="41" t="s">
        <v>1979</v>
      </c>
      <c r="C63" s="42"/>
      <c r="D63" s="43">
        <v>20121</v>
      </c>
      <c r="E63" s="82">
        <f>VLOOKUP($A63,[0]!Data,55,FALSE)</f>
        <v>1</v>
      </c>
      <c r="F63" s="43">
        <f>VLOOKUP($A63,[0]!Data,56,FALSE)</f>
        <v>0</v>
      </c>
      <c r="G63" s="43">
        <f>VLOOKUP($A63,[0]!Data,57,FALSE)</f>
        <v>0</v>
      </c>
      <c r="H63" s="43">
        <f>VLOOKUP($A63,[0]!Data,58,FALSE)</f>
        <v>1</v>
      </c>
      <c r="I63" s="83">
        <f>VLOOKUP($A63,[0]!Data,61,FALSE)</f>
        <v>2704</v>
      </c>
    </row>
    <row r="64" spans="1:9" x14ac:dyDescent="0.25">
      <c r="A64" s="40" t="s">
        <v>1826</v>
      </c>
      <c r="B64" s="41" t="s">
        <v>1980</v>
      </c>
      <c r="C64" s="42"/>
      <c r="D64" s="43">
        <v>124808</v>
      </c>
      <c r="E64" s="82">
        <f>VLOOKUP($A64,[0]!Data,55,FALSE)</f>
        <v>1</v>
      </c>
      <c r="F64" s="43">
        <f>VLOOKUP($A64,[0]!Data,56,FALSE)</f>
        <v>3</v>
      </c>
      <c r="G64" s="43">
        <f>VLOOKUP($A64,[0]!Data,57,FALSE)</f>
        <v>0</v>
      </c>
      <c r="H64" s="43">
        <f>VLOOKUP($A64,[0]!Data,58,FALSE)</f>
        <v>1</v>
      </c>
      <c r="I64" s="83">
        <f>VLOOKUP($A64,[0]!Data,61,FALSE)</f>
        <v>8128</v>
      </c>
    </row>
    <row r="65" spans="1:9" x14ac:dyDescent="0.25">
      <c r="A65" s="40" t="s">
        <v>1842</v>
      </c>
      <c r="B65" s="41" t="s">
        <v>1981</v>
      </c>
      <c r="C65" s="41"/>
      <c r="D65" s="43">
        <v>81758</v>
      </c>
      <c r="E65" s="84">
        <f>VLOOKUP($A65,[0]!Data,55,FALSE)</f>
        <v>1</v>
      </c>
      <c r="F65" s="85">
        <f>VLOOKUP($A65,[0]!Data,56,FALSE)</f>
        <v>5</v>
      </c>
      <c r="G65" s="85">
        <f>VLOOKUP($A65,[0]!Data,57,FALSE)</f>
        <v>1</v>
      </c>
      <c r="H65" s="85">
        <f>VLOOKUP($A65,[0]!Data,58,FALSE)</f>
        <v>0</v>
      </c>
      <c r="I65" s="86">
        <f>VLOOKUP($A65,[0]!Data,61,FALSE)</f>
        <v>11066</v>
      </c>
    </row>
    <row r="66" spans="1:9" ht="15.75" thickBot="1" x14ac:dyDescent="0.3">
      <c r="A66" s="648"/>
      <c r="B66" s="649"/>
      <c r="C66" s="44" t="s">
        <v>1864</v>
      </c>
      <c r="D66" s="45">
        <v>8503636</v>
      </c>
      <c r="E66" s="79"/>
      <c r="F66" s="79"/>
      <c r="G66" s="79"/>
      <c r="H66" s="80" t="s">
        <v>1865</v>
      </c>
      <c r="I66" s="81">
        <f>AVERAGE(I8:I65)</f>
        <v>12049.793103448275</v>
      </c>
    </row>
    <row r="67" spans="1:9" ht="16.5" thickTop="1" thickBot="1" x14ac:dyDescent="0.3">
      <c r="A67" s="650" t="s">
        <v>1866</v>
      </c>
      <c r="B67" s="651"/>
      <c r="C67" s="50"/>
      <c r="D67" s="51"/>
      <c r="E67" s="52"/>
      <c r="F67" s="52"/>
      <c r="G67" s="52"/>
      <c r="H67" s="53"/>
      <c r="I67" s="54"/>
    </row>
    <row r="68" spans="1:9" ht="15.75" thickTop="1" x14ac:dyDescent="0.25">
      <c r="A68" s="55" t="s">
        <v>692</v>
      </c>
      <c r="B68" s="55" t="s">
        <v>1982</v>
      </c>
      <c r="C68" s="56"/>
      <c r="D68" s="43">
        <v>76564</v>
      </c>
      <c r="E68" s="82">
        <f>VLOOKUP($A68,[0]!Data,55,FALSE)</f>
        <v>1</v>
      </c>
      <c r="F68" s="43">
        <f>VLOOKUP($A68,[0]!Data,56,FALSE)</f>
        <v>6</v>
      </c>
      <c r="G68" s="43">
        <f>VLOOKUP($A68,[0]!Data,57,FALSE)</f>
        <v>0</v>
      </c>
      <c r="H68" s="43">
        <f>VLOOKUP($A68,[0]!Data,58,FALSE)</f>
        <v>2</v>
      </c>
      <c r="I68" s="83">
        <f>VLOOKUP($A68,[0]!Data,61,FALSE)</f>
        <v>15106</v>
      </c>
    </row>
    <row r="69" spans="1:9" x14ac:dyDescent="0.25">
      <c r="A69" s="55" t="s">
        <v>739</v>
      </c>
      <c r="B69" s="55" t="s">
        <v>1983</v>
      </c>
      <c r="C69" s="56"/>
      <c r="D69" s="43">
        <v>51506</v>
      </c>
      <c r="E69" s="82">
        <f>VLOOKUP($A69,[0]!Data,55,FALSE)</f>
        <v>0</v>
      </c>
      <c r="F69" s="43">
        <f>VLOOKUP($A69,[0]!Data,56,FALSE)</f>
        <v>4</v>
      </c>
      <c r="G69" s="43">
        <f>VLOOKUP($A69,[0]!Data,57,FALSE)</f>
        <v>1</v>
      </c>
      <c r="H69" s="43">
        <f>VLOOKUP($A69,[0]!Data,58,FALSE)</f>
        <v>1</v>
      </c>
      <c r="I69" s="83">
        <f>VLOOKUP($A69,[0]!Data,61,FALSE)</f>
        <v>11832</v>
      </c>
    </row>
    <row r="70" spans="1:9" x14ac:dyDescent="0.25">
      <c r="A70" s="55" t="s">
        <v>723</v>
      </c>
      <c r="B70" s="55" t="s">
        <v>1984</v>
      </c>
      <c r="C70" s="56"/>
      <c r="D70" s="43">
        <v>152363</v>
      </c>
      <c r="E70" s="82">
        <f>VLOOKUP($A70,[0]!Data,55,FALSE)</f>
        <v>0</v>
      </c>
      <c r="F70" s="43">
        <f>VLOOKUP($A70,[0]!Data,56,FALSE)</f>
        <v>5</v>
      </c>
      <c r="G70" s="43">
        <f>VLOOKUP($A70,[0]!Data,57,FALSE)</f>
        <v>0</v>
      </c>
      <c r="H70" s="43">
        <f>VLOOKUP($A70,[0]!Data,58,FALSE)</f>
        <v>3</v>
      </c>
      <c r="I70" s="83">
        <f>VLOOKUP($A70,[0]!Data,61,FALSE)</f>
        <v>11300</v>
      </c>
    </row>
    <row r="71" spans="1:9" x14ac:dyDescent="0.25">
      <c r="A71" s="55" t="s">
        <v>760</v>
      </c>
      <c r="B71" s="55" t="s">
        <v>1985</v>
      </c>
      <c r="C71" s="56"/>
      <c r="D71" s="43">
        <v>67276</v>
      </c>
      <c r="E71" s="82">
        <f>VLOOKUP($A71,[0]!Data,55,FALSE)</f>
        <v>1</v>
      </c>
      <c r="F71" s="43">
        <f>VLOOKUP($A71,[0]!Data,56,FALSE)</f>
        <v>7</v>
      </c>
      <c r="G71" s="43">
        <f>VLOOKUP($A71,[0]!Data,57,FALSE)</f>
        <v>0</v>
      </c>
      <c r="H71" s="43">
        <f>VLOOKUP($A71,[0]!Data,58,FALSE)</f>
        <v>1</v>
      </c>
      <c r="I71" s="83">
        <f>VLOOKUP($A71,[0]!Data,61,FALSE)</f>
        <v>15496</v>
      </c>
    </row>
    <row r="72" spans="1:9" x14ac:dyDescent="0.25">
      <c r="A72" s="55" t="s">
        <v>975</v>
      </c>
      <c r="B72" s="55" t="s">
        <v>1986</v>
      </c>
      <c r="C72" s="56"/>
      <c r="D72" s="43">
        <v>186954</v>
      </c>
      <c r="E72" s="82">
        <f>VLOOKUP($A72,[0]!Data,55,FALSE)</f>
        <v>0</v>
      </c>
      <c r="F72" s="43">
        <f>VLOOKUP($A72,[0]!Data,56,FALSE)</f>
        <v>10</v>
      </c>
      <c r="G72" s="43">
        <f>VLOOKUP($A72,[0]!Data,57,FALSE)</f>
        <v>0</v>
      </c>
      <c r="H72" s="43">
        <f>VLOOKUP($A72,[0]!Data,58,FALSE)</f>
        <v>2</v>
      </c>
      <c r="I72" s="83">
        <f>VLOOKUP($A72,[0]!Data,61,FALSE)</f>
        <v>25094</v>
      </c>
    </row>
    <row r="73" spans="1:9" x14ac:dyDescent="0.25">
      <c r="A73" s="55" t="s">
        <v>1071</v>
      </c>
      <c r="B73" s="55" t="s">
        <v>1987</v>
      </c>
      <c r="C73" s="56"/>
      <c r="D73" s="43">
        <v>113059</v>
      </c>
      <c r="E73" s="82">
        <f>VLOOKUP($A73,[0]!Data,55,FALSE)</f>
        <v>1</v>
      </c>
      <c r="F73" s="43">
        <f>VLOOKUP($A73,[0]!Data,56,FALSE)</f>
        <v>7</v>
      </c>
      <c r="G73" s="43">
        <f>VLOOKUP($A73,[0]!Data,57,FALSE)</f>
        <v>1</v>
      </c>
      <c r="H73" s="43">
        <f>VLOOKUP($A73,[0]!Data,58,FALSE)</f>
        <v>2</v>
      </c>
      <c r="I73" s="83">
        <f>VLOOKUP($A73,[0]!Data,61,FALSE)</f>
        <v>19598</v>
      </c>
    </row>
    <row r="74" spans="1:9" x14ac:dyDescent="0.25">
      <c r="A74" s="55" t="s">
        <v>1111</v>
      </c>
      <c r="B74" s="55" t="s">
        <v>1988</v>
      </c>
      <c r="C74" s="56"/>
      <c r="D74" s="43">
        <v>91321</v>
      </c>
      <c r="E74" s="82">
        <f>VLOOKUP($A74,[0]!Data,55,FALSE)</f>
        <v>0</v>
      </c>
      <c r="F74" s="43">
        <f>VLOOKUP($A74,[0]!Data,56,FALSE)</f>
        <v>6</v>
      </c>
      <c r="G74" s="43">
        <f>VLOOKUP($A74,[0]!Data,57,FALSE)</f>
        <v>0</v>
      </c>
      <c r="H74" s="43">
        <f>VLOOKUP($A74,[0]!Data,58,FALSE)</f>
        <v>1</v>
      </c>
      <c r="I74" s="83">
        <f>VLOOKUP($A74,[0]!Data,61,FALSE)</f>
        <v>12901</v>
      </c>
    </row>
    <row r="75" spans="1:9" x14ac:dyDescent="0.25">
      <c r="A75" s="55" t="s">
        <v>1425</v>
      </c>
      <c r="B75" s="55" t="s">
        <v>1989</v>
      </c>
      <c r="C75" s="56"/>
      <c r="D75" s="43">
        <v>48746</v>
      </c>
      <c r="E75" s="82">
        <f>VLOOKUP($A75,[0]!Data,55,FALSE)</f>
        <v>0</v>
      </c>
      <c r="F75" s="43">
        <f>VLOOKUP($A75,[0]!Data,56,FALSE)</f>
        <v>5</v>
      </c>
      <c r="G75" s="43">
        <f>VLOOKUP($A75,[0]!Data,57,FALSE)</f>
        <v>1</v>
      </c>
      <c r="H75" s="43">
        <f>VLOOKUP($A75,[0]!Data,58,FALSE)</f>
        <v>0</v>
      </c>
      <c r="I75" s="83">
        <f>VLOOKUP($A75,[0]!Data,61,FALSE)</f>
        <v>11986</v>
      </c>
    </row>
    <row r="76" spans="1:9" x14ac:dyDescent="0.25">
      <c r="A76" s="55" t="s">
        <v>1442</v>
      </c>
      <c r="B76" s="55" t="s">
        <v>1990</v>
      </c>
      <c r="C76" s="56"/>
      <c r="D76" s="43">
        <v>89362</v>
      </c>
      <c r="E76" s="82">
        <f>VLOOKUP($A76,[0]!Data,55,FALSE)</f>
        <v>1</v>
      </c>
      <c r="F76" s="43">
        <f>VLOOKUP($A76,[0]!Data,56,FALSE)</f>
        <v>7</v>
      </c>
      <c r="G76" s="43">
        <f>VLOOKUP($A76,[0]!Data,57,FALSE)</f>
        <v>0</v>
      </c>
      <c r="H76" s="43">
        <f>VLOOKUP($A76,[0]!Data,58,FALSE)</f>
        <v>4</v>
      </c>
      <c r="I76" s="83">
        <f>VLOOKUP($A76,[0]!Data,61,FALSE)</f>
        <v>17368</v>
      </c>
    </row>
    <row r="77" spans="1:9" x14ac:dyDescent="0.25">
      <c r="A77" s="55" t="s">
        <v>1472</v>
      </c>
      <c r="B77" s="55" t="s">
        <v>1991</v>
      </c>
      <c r="C77" s="56"/>
      <c r="D77" s="43">
        <v>168521</v>
      </c>
      <c r="E77" s="82">
        <f>VLOOKUP($A77,[0]!Data,55,FALSE)</f>
        <v>0</v>
      </c>
      <c r="F77" s="43">
        <f>VLOOKUP($A77,[0]!Data,56,FALSE)</f>
        <v>13</v>
      </c>
      <c r="G77" s="43">
        <f>VLOOKUP($A77,[0]!Data,57,FALSE)</f>
        <v>1</v>
      </c>
      <c r="H77" s="43">
        <f>VLOOKUP($A77,[0]!Data,58,FALSE)</f>
        <v>0</v>
      </c>
      <c r="I77" s="83">
        <f>VLOOKUP($A77,[0]!Data,61,FALSE)</f>
        <v>33362</v>
      </c>
    </row>
    <row r="78" spans="1:9" x14ac:dyDescent="0.25">
      <c r="A78" s="55" t="s">
        <v>1558</v>
      </c>
      <c r="B78" s="55" t="s">
        <v>1992</v>
      </c>
      <c r="C78" s="56"/>
      <c r="D78" s="43">
        <v>44532</v>
      </c>
      <c r="E78" s="82">
        <f>VLOOKUP($A78,[0]!Data,55,FALSE)</f>
        <v>0</v>
      </c>
      <c r="F78" s="43">
        <f>VLOOKUP($A78,[0]!Data,56,FALSE)</f>
        <v>4</v>
      </c>
      <c r="G78" s="43">
        <f>VLOOKUP($A78,[0]!Data,57,FALSE)</f>
        <v>0</v>
      </c>
      <c r="H78" s="43">
        <f>VLOOKUP($A78,[0]!Data,58,FALSE)</f>
        <v>1</v>
      </c>
      <c r="I78" s="83">
        <f>VLOOKUP($A78,[0]!Data,61,FALSE)</f>
        <v>9334</v>
      </c>
    </row>
    <row r="79" spans="1:9" x14ac:dyDescent="0.25">
      <c r="A79" s="55" t="s">
        <v>1696</v>
      </c>
      <c r="B79" s="55" t="s">
        <v>1993</v>
      </c>
      <c r="C79" s="56"/>
      <c r="D79" s="43">
        <v>232868</v>
      </c>
      <c r="E79" s="82">
        <f>VLOOKUP($A79,[0]!Data,55,FALSE)</f>
        <v>0</v>
      </c>
      <c r="F79" s="43">
        <f>VLOOKUP($A79,[0]!Data,56,FALSE)</f>
        <v>15</v>
      </c>
      <c r="G79" s="43">
        <f>VLOOKUP($A79,[0]!Data,57,FALSE)</f>
        <v>2</v>
      </c>
      <c r="H79" s="43">
        <f>VLOOKUP($A79,[0]!Data,58,FALSE)</f>
        <v>1</v>
      </c>
      <c r="I79" s="83">
        <f>VLOOKUP($A79,[0]!Data,61,FALSE)</f>
        <v>27523</v>
      </c>
    </row>
    <row r="80" spans="1:9" ht="15.75" thickBot="1" x14ac:dyDescent="0.3">
      <c r="A80" s="648"/>
      <c r="B80" s="649"/>
      <c r="C80" s="57" t="s">
        <v>1864</v>
      </c>
      <c r="D80" s="45">
        <v>1400272</v>
      </c>
      <c r="E80" s="46"/>
      <c r="F80" s="46"/>
      <c r="G80" s="46"/>
      <c r="H80" s="47" t="s">
        <v>1865</v>
      </c>
      <c r="I80" s="48">
        <f>AVERAGE(I68:I79)</f>
        <v>17575</v>
      </c>
    </row>
    <row r="81" spans="1:9" ht="16.5" thickTop="1" thickBot="1" x14ac:dyDescent="0.3">
      <c r="A81" s="58"/>
      <c r="B81" s="35" t="s">
        <v>1867</v>
      </c>
      <c r="C81" s="50"/>
      <c r="D81" s="51"/>
      <c r="E81" s="52"/>
      <c r="F81" s="52"/>
      <c r="G81" s="52"/>
      <c r="H81" s="53"/>
      <c r="I81" s="54"/>
    </row>
    <row r="82" spans="1:9" ht="15.75" thickTop="1" x14ac:dyDescent="0.25">
      <c r="A82" s="55" t="s">
        <v>897</v>
      </c>
      <c r="B82" s="55" t="s">
        <v>1994</v>
      </c>
      <c r="C82" s="56"/>
      <c r="D82" s="43">
        <v>59852</v>
      </c>
      <c r="E82" s="82">
        <f>VLOOKUP($A82,[0]!Data,55,FALSE)</f>
        <v>1</v>
      </c>
      <c r="F82" s="43">
        <f>VLOOKUP($A82,[0]!Data,56,FALSE)</f>
        <v>0</v>
      </c>
      <c r="G82" s="43">
        <f>VLOOKUP($A82,[0]!Data,57,FALSE)</f>
        <v>0</v>
      </c>
      <c r="H82" s="43">
        <f>VLOOKUP($A82,[0]!Data,58,FALSE)</f>
        <v>1</v>
      </c>
      <c r="I82" s="83">
        <f>VLOOKUP($A82,[0]!Data,61,FALSE)</f>
        <v>3489</v>
      </c>
    </row>
    <row r="83" spans="1:9" x14ac:dyDescent="0.25">
      <c r="A83" s="55" t="s">
        <v>1312</v>
      </c>
      <c r="B83" s="55" t="s">
        <v>1868</v>
      </c>
      <c r="C83" s="56"/>
      <c r="D83" s="43">
        <v>19427</v>
      </c>
      <c r="E83" s="82">
        <f>VLOOKUP($A83,[0]!Data,55,FALSE)</f>
        <v>1</v>
      </c>
      <c r="F83" s="43">
        <f>VLOOKUP($A83,[0]!Data,56,FALSE)</f>
        <v>0</v>
      </c>
      <c r="G83" s="43">
        <f>VLOOKUP($A83,[0]!Data,57,FALSE)</f>
        <v>0</v>
      </c>
      <c r="H83" s="43">
        <f>VLOOKUP($A83,[0]!Data,58,FALSE)</f>
        <v>0</v>
      </c>
      <c r="I83" s="83">
        <f>VLOOKUP($A83,[0]!Data,61,FALSE)</f>
        <v>2756</v>
      </c>
    </row>
    <row r="84" spans="1:9" x14ac:dyDescent="0.25">
      <c r="A84" s="55" t="s">
        <v>1100</v>
      </c>
      <c r="B84" s="55" t="s">
        <v>1995</v>
      </c>
      <c r="C84" s="56"/>
      <c r="D84" s="43">
        <v>4670</v>
      </c>
      <c r="E84" s="82">
        <f>VLOOKUP($A84,[0]!Data,55,FALSE)</f>
        <v>1</v>
      </c>
      <c r="F84" s="43">
        <f>VLOOKUP($A84,[0]!Data,56,FALSE)</f>
        <v>0</v>
      </c>
      <c r="G84" s="43">
        <f>VLOOKUP($A84,[0]!Data,57,FALSE)</f>
        <v>0</v>
      </c>
      <c r="H84" s="43">
        <f>VLOOKUP($A84,[0]!Data,58,FALSE)</f>
        <v>0</v>
      </c>
      <c r="I84" s="83">
        <f>VLOOKUP($A84,[0]!Data,61,FALSE)</f>
        <v>2548</v>
      </c>
    </row>
    <row r="85" spans="1:9" x14ac:dyDescent="0.25">
      <c r="A85" s="55" t="s">
        <v>1281</v>
      </c>
      <c r="B85" s="55" t="s">
        <v>1996</v>
      </c>
      <c r="C85" s="56"/>
      <c r="D85" s="43">
        <v>40453</v>
      </c>
      <c r="E85" s="82">
        <f>VLOOKUP($A85,[0]!Data,55,FALSE)</f>
        <v>1</v>
      </c>
      <c r="F85" s="43">
        <f>VLOOKUP($A85,[0]!Data,56,FALSE)</f>
        <v>1</v>
      </c>
      <c r="G85" s="43">
        <f>VLOOKUP($A85,[0]!Data,57,FALSE)</f>
        <v>0</v>
      </c>
      <c r="H85" s="43">
        <f>VLOOKUP($A85,[0]!Data,58,FALSE)</f>
        <v>2</v>
      </c>
      <c r="I85" s="83">
        <f>VLOOKUP($A85,[0]!Data,61,FALSE)</f>
        <v>6656</v>
      </c>
    </row>
    <row r="86" spans="1:9" x14ac:dyDescent="0.25">
      <c r="A86" s="55" t="s">
        <v>1297</v>
      </c>
      <c r="B86" s="55" t="s">
        <v>1997</v>
      </c>
      <c r="C86" s="56"/>
      <c r="D86" s="43">
        <v>110244</v>
      </c>
      <c r="E86" s="82">
        <f>VLOOKUP($A86,[0]!Data,55,FALSE)</f>
        <v>1</v>
      </c>
      <c r="F86" s="43">
        <f>VLOOKUP($A86,[0]!Data,56,FALSE)</f>
        <v>0</v>
      </c>
      <c r="G86" s="43">
        <f>VLOOKUP($A86,[0]!Data,57,FALSE)</f>
        <v>1</v>
      </c>
      <c r="H86" s="43">
        <f>VLOOKUP($A86,[0]!Data,58,FALSE)</f>
        <v>1</v>
      </c>
      <c r="I86" s="83">
        <f>VLOOKUP($A86,[0]!Data,61,FALSE)</f>
        <v>3549</v>
      </c>
    </row>
    <row r="87" spans="1:9" x14ac:dyDescent="0.25">
      <c r="A87" s="55" t="s">
        <v>1341</v>
      </c>
      <c r="B87" s="55" t="s">
        <v>1998</v>
      </c>
      <c r="C87" s="56"/>
      <c r="D87" s="43">
        <v>10719</v>
      </c>
      <c r="E87" s="82">
        <f>VLOOKUP($A87,[0]!Data,55,FALSE)</f>
        <v>1</v>
      </c>
      <c r="F87" s="43">
        <f>VLOOKUP($A87,[0]!Data,56,FALSE)</f>
        <v>0</v>
      </c>
      <c r="G87" s="43">
        <f>VLOOKUP($A87,[0]!Data,57,FALSE)</f>
        <v>0</v>
      </c>
      <c r="H87" s="43">
        <f>VLOOKUP($A87,[0]!Data,58,FALSE)</f>
        <v>1</v>
      </c>
      <c r="I87" s="83">
        <f>VLOOKUP($A87,[0]!Data,61,FALSE)</f>
        <v>2704</v>
      </c>
    </row>
    <row r="88" spans="1:9" x14ac:dyDescent="0.25">
      <c r="A88" s="55" t="s">
        <v>1409</v>
      </c>
      <c r="B88" s="55" t="s">
        <v>1999</v>
      </c>
      <c r="C88" s="56"/>
      <c r="D88" s="43">
        <v>39068</v>
      </c>
      <c r="E88" s="82">
        <f>VLOOKUP($A88,[0]!Data,55,FALSE)</f>
        <v>1</v>
      </c>
      <c r="F88" s="43">
        <f>VLOOKUP($A88,[0]!Data,56,FALSE)</f>
        <v>0</v>
      </c>
      <c r="G88" s="43">
        <f>VLOOKUP($A88,[0]!Data,57,FALSE)</f>
        <v>0</v>
      </c>
      <c r="H88" s="43">
        <f>VLOOKUP($A88,[0]!Data,58,FALSE)</f>
        <v>1</v>
      </c>
      <c r="I88" s="83">
        <f>VLOOKUP($A88,[0]!Data,61,FALSE)</f>
        <v>3076</v>
      </c>
    </row>
    <row r="89" spans="1:9" x14ac:dyDescent="0.25">
      <c r="A89" s="55" t="s">
        <v>1245</v>
      </c>
      <c r="B89" s="55" t="s">
        <v>2000</v>
      </c>
      <c r="C89" s="56"/>
      <c r="D89" s="43">
        <v>5231</v>
      </c>
      <c r="E89" s="82">
        <f>VLOOKUP($A89,[0]!Data,55,FALSE)</f>
        <v>1</v>
      </c>
      <c r="F89" s="43">
        <f>VLOOKUP($A89,[0]!Data,56,FALSE)</f>
        <v>0</v>
      </c>
      <c r="G89" s="43">
        <f>VLOOKUP($A89,[0]!Data,57,FALSE)</f>
        <v>0</v>
      </c>
      <c r="H89" s="43">
        <f>VLOOKUP($A89,[0]!Data,58,FALSE)</f>
        <v>0</v>
      </c>
      <c r="I89" s="83">
        <f>VLOOKUP($A89,[0]!Data,61,FALSE)</f>
        <v>2465</v>
      </c>
    </row>
    <row r="90" spans="1:9" x14ac:dyDescent="0.25">
      <c r="A90" s="55" t="s">
        <v>1613</v>
      </c>
      <c r="B90" s="55" t="s">
        <v>2001</v>
      </c>
      <c r="C90" s="56"/>
      <c r="D90" s="43">
        <v>15101</v>
      </c>
      <c r="E90" s="82">
        <f>VLOOKUP($A90,[0]!Data,55,FALSE)</f>
        <v>1</v>
      </c>
      <c r="F90" s="43">
        <f>VLOOKUP($A90,[0]!Data,56,FALSE)</f>
        <v>0</v>
      </c>
      <c r="G90" s="43">
        <f>VLOOKUP($A90,[0]!Data,57,FALSE)</f>
        <v>0</v>
      </c>
      <c r="H90" s="43">
        <f>VLOOKUP($A90,[0]!Data,58,FALSE)</f>
        <v>0</v>
      </c>
      <c r="I90" s="83">
        <f>VLOOKUP($A90,[0]!Data,61,FALSE)</f>
        <v>2346</v>
      </c>
    </row>
    <row r="91" spans="1:9" x14ac:dyDescent="0.25">
      <c r="A91" s="55" t="s">
        <v>1742</v>
      </c>
      <c r="B91" s="55" t="s">
        <v>2002</v>
      </c>
      <c r="C91" s="56"/>
      <c r="D91" s="43">
        <v>13756</v>
      </c>
      <c r="E91" s="82">
        <f>VLOOKUP($A91,[0]!Data,55,FALSE)</f>
        <v>1</v>
      </c>
      <c r="F91" s="43">
        <f>VLOOKUP($A91,[0]!Data,56,FALSE)</f>
        <v>0</v>
      </c>
      <c r="G91" s="43">
        <f>VLOOKUP($A91,[0]!Data,57,FALSE)</f>
        <v>0</v>
      </c>
      <c r="H91" s="43">
        <f>VLOOKUP($A91,[0]!Data,58,FALSE)</f>
        <v>0</v>
      </c>
      <c r="I91" s="83">
        <f>VLOOKUP($A91,[0]!Data,61,FALSE)</f>
        <v>2756</v>
      </c>
    </row>
    <row r="92" spans="1:9" x14ac:dyDescent="0.25">
      <c r="A92" s="55" t="s">
        <v>1178</v>
      </c>
      <c r="B92" s="55" t="s">
        <v>2003</v>
      </c>
      <c r="C92" s="56"/>
      <c r="D92" s="43">
        <v>9561</v>
      </c>
      <c r="E92" s="82">
        <f>VLOOKUP($A92,[0]!Data,55,FALSE)</f>
        <v>1</v>
      </c>
      <c r="F92" s="43">
        <f>VLOOKUP($A92,[0]!Data,56,FALSE)</f>
        <v>0</v>
      </c>
      <c r="G92" s="43">
        <f>VLOOKUP($A92,[0]!Data,57,FALSE)</f>
        <v>0</v>
      </c>
      <c r="H92" s="43">
        <f>VLOOKUP($A92,[0]!Data,58,FALSE)</f>
        <v>0</v>
      </c>
      <c r="I92" s="83">
        <f>VLOOKUP($A92,[0]!Data,61,FALSE)</f>
        <v>2860</v>
      </c>
    </row>
    <row r="93" spans="1:9" x14ac:dyDescent="0.25">
      <c r="A93" s="652"/>
      <c r="B93" s="653"/>
      <c r="C93" s="60" t="s">
        <v>1864</v>
      </c>
      <c r="D93" s="61">
        <v>328082</v>
      </c>
      <c r="E93" s="62"/>
      <c r="F93" s="62"/>
      <c r="G93" s="62"/>
      <c r="H93" s="63" t="s">
        <v>1865</v>
      </c>
      <c r="I93" s="64">
        <f>AVERAGE(I82:I92)</f>
        <v>3200.4545454545455</v>
      </c>
    </row>
    <row r="94" spans="1:9" ht="15.75" thickBot="1" x14ac:dyDescent="0.3">
      <c r="A94" s="23"/>
      <c r="B94" s="65"/>
      <c r="C94" s="66"/>
      <c r="D94" s="67"/>
      <c r="E94" s="68"/>
      <c r="F94" s="68"/>
      <c r="G94" s="68"/>
      <c r="H94" s="67"/>
      <c r="I94" s="69"/>
    </row>
    <row r="95" spans="1:9" ht="15.75" thickTop="1" x14ac:dyDescent="0.25">
      <c r="A95" s="654"/>
      <c r="B95" s="655"/>
      <c r="C95" s="70" t="s">
        <v>1869</v>
      </c>
      <c r="D95" s="71">
        <v>10231990</v>
      </c>
      <c r="E95" s="72"/>
      <c r="F95" s="72"/>
      <c r="G95" s="72"/>
      <c r="H95" s="73" t="s">
        <v>1870</v>
      </c>
      <c r="I95" s="74">
        <f>AVERAGE(I82:I92,I68:I79,I8:I65)</f>
        <v>11666.58024691358</v>
      </c>
    </row>
    <row r="96" spans="1:9" x14ac:dyDescent="0.25">
      <c r="I96" s="78"/>
    </row>
  </sheetData>
  <mergeCells count="11">
    <mergeCell ref="A66:B66"/>
    <mergeCell ref="A67:B67"/>
    <mergeCell ref="A80:B80"/>
    <mergeCell ref="A93:B93"/>
    <mergeCell ref="A95:B95"/>
    <mergeCell ref="I4:I6"/>
    <mergeCell ref="A4:A6"/>
    <mergeCell ref="B4:B6"/>
    <mergeCell ref="C4:C6"/>
    <mergeCell ref="D4:D6"/>
    <mergeCell ref="E4:H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6"/>
  <sheetViews>
    <sheetView tabSelected="1" workbookViewId="0">
      <selection activeCell="I1" sqref="I1"/>
    </sheetView>
  </sheetViews>
  <sheetFormatPr defaultColWidth="8.85546875" defaultRowHeight="12.75" x14ac:dyDescent="0.2"/>
  <cols>
    <col min="1" max="1" width="8.140625" style="90" customWidth="1"/>
    <col min="2" max="2" width="20.140625" style="90" customWidth="1"/>
    <col min="3" max="7" width="8.85546875" style="125"/>
    <col min="8" max="8" width="12.140625" style="125" customWidth="1"/>
    <col min="9" max="9" width="10.85546875" style="126" customWidth="1"/>
    <col min="10" max="16384" width="8.85546875" style="90"/>
  </cols>
  <sheetData>
    <row r="1" spans="1:9" x14ac:dyDescent="0.2">
      <c r="A1" s="87"/>
      <c r="B1" s="88"/>
      <c r="C1" s="89"/>
      <c r="D1" s="89"/>
      <c r="E1" s="89"/>
      <c r="F1" s="89"/>
      <c r="G1" s="89"/>
      <c r="H1" s="89"/>
      <c r="I1" s="15" t="s">
        <v>2271</v>
      </c>
    </row>
    <row r="2" spans="1:9" ht="15.75" x14ac:dyDescent="0.25">
      <c r="A2" s="207" t="s">
        <v>1871</v>
      </c>
      <c r="B2" s="92"/>
      <c r="C2" s="93"/>
      <c r="D2" s="93"/>
      <c r="E2" s="93"/>
      <c r="F2" s="93"/>
      <c r="G2" s="93"/>
      <c r="H2" s="93"/>
      <c r="I2" s="22" t="s">
        <v>2004</v>
      </c>
    </row>
    <row r="3" spans="1:9" ht="13.5" thickBot="1" x14ac:dyDescent="0.25">
      <c r="A3" s="94"/>
      <c r="B3" s="92"/>
      <c r="C3" s="93"/>
      <c r="D3" s="93"/>
      <c r="E3" s="93"/>
      <c r="F3" s="93"/>
      <c r="G3" s="93"/>
      <c r="H3" s="93"/>
      <c r="I3" s="95"/>
    </row>
    <row r="4" spans="1:9" ht="13.5" thickTop="1" x14ac:dyDescent="0.2">
      <c r="A4" s="96"/>
      <c r="B4" s="638"/>
      <c r="C4" s="97"/>
      <c r="D4" s="97" t="s">
        <v>1872</v>
      </c>
      <c r="E4" s="97" t="s">
        <v>1873</v>
      </c>
      <c r="F4" s="97"/>
      <c r="G4" s="97"/>
      <c r="H4" s="97" t="s">
        <v>1874</v>
      </c>
      <c r="I4" s="98" t="s">
        <v>1875</v>
      </c>
    </row>
    <row r="5" spans="1:9" x14ac:dyDescent="0.2">
      <c r="A5" s="99"/>
      <c r="B5" s="656"/>
      <c r="C5" s="100" t="s">
        <v>1872</v>
      </c>
      <c r="D5" s="100" t="s">
        <v>1876</v>
      </c>
      <c r="E5" s="100" t="s">
        <v>1872</v>
      </c>
      <c r="F5" s="100" t="s">
        <v>803</v>
      </c>
      <c r="G5" s="100" t="s">
        <v>1873</v>
      </c>
      <c r="H5" s="101">
        <v>25000</v>
      </c>
      <c r="I5" s="102" t="s">
        <v>1877</v>
      </c>
    </row>
    <row r="6" spans="1:9" ht="13.5" thickBot="1" x14ac:dyDescent="0.25">
      <c r="A6" s="103"/>
      <c r="B6" s="657"/>
      <c r="C6" s="104" t="s">
        <v>1878</v>
      </c>
      <c r="D6" s="104" t="s">
        <v>1879</v>
      </c>
      <c r="E6" s="104" t="s">
        <v>1876</v>
      </c>
      <c r="F6" s="104" t="s">
        <v>1880</v>
      </c>
      <c r="G6" s="104" t="s">
        <v>317</v>
      </c>
      <c r="H6" s="104" t="s">
        <v>1881</v>
      </c>
      <c r="I6" s="105" t="s">
        <v>1878</v>
      </c>
    </row>
    <row r="7" spans="1:9" ht="14.25" thickTop="1" thickBot="1" x14ac:dyDescent="0.25">
      <c r="A7" s="34"/>
      <c r="B7" s="35" t="s">
        <v>1863</v>
      </c>
      <c r="C7" s="106"/>
      <c r="D7" s="106"/>
      <c r="E7" s="106"/>
      <c r="F7" s="107"/>
      <c r="G7" s="107"/>
      <c r="H7" s="107"/>
      <c r="I7" s="108"/>
    </row>
    <row r="8" spans="1:9" ht="13.5" thickTop="1" x14ac:dyDescent="0.2">
      <c r="A8" s="40" t="s">
        <v>666</v>
      </c>
      <c r="B8" s="41" t="s">
        <v>1927</v>
      </c>
      <c r="C8" s="82">
        <f>VLOOKUP($A8,[0]!Data,62,FALSE)</f>
        <v>10</v>
      </c>
      <c r="D8" s="43">
        <f>VLOOKUP($A8,[0]!Data,63,FALSE)</f>
        <v>0</v>
      </c>
      <c r="E8" s="43">
        <f>VLOOKUP($A8,[0]!Data,64,FALSE)</f>
        <v>10</v>
      </c>
      <c r="F8" s="43">
        <f>VLOOKUP($A8,[0]!Data,65,FALSE)</f>
        <v>35.380000000000003</v>
      </c>
      <c r="G8" s="43">
        <f>VLOOKUP($A8,[0]!Data,66,FALSE)</f>
        <v>45.38</v>
      </c>
      <c r="H8" s="130">
        <f>'Table 2'!G8/('Table 1'!D8/25000)</f>
        <v>7.1327976662014159</v>
      </c>
      <c r="I8" s="128">
        <f>VLOOKUP($A8,[0]!Data,67,FALSE)</f>
        <v>0.22040000000000001</v>
      </c>
    </row>
    <row r="9" spans="1:9" x14ac:dyDescent="0.2">
      <c r="A9" s="40" t="s">
        <v>711</v>
      </c>
      <c r="B9" s="41" t="s">
        <v>1928</v>
      </c>
      <c r="C9" s="82">
        <f>VLOOKUP($A9,[0]!Data,62,FALSE)</f>
        <v>1</v>
      </c>
      <c r="D9" s="43">
        <f>VLOOKUP($A9,[0]!Data,63,FALSE)</f>
        <v>0</v>
      </c>
      <c r="E9" s="43">
        <f>VLOOKUP($A9,[0]!Data,64,FALSE)</f>
        <v>1</v>
      </c>
      <c r="F9" s="43">
        <f>VLOOKUP($A9,[0]!Data,65,FALSE)</f>
        <v>8.33</v>
      </c>
      <c r="G9" s="43">
        <f>VLOOKUP($A9,[0]!Data,66,FALSE)</f>
        <v>9.33</v>
      </c>
      <c r="H9" s="130">
        <f>'Table 2'!G9/('Table 1'!D9/25000)</f>
        <v>6.0926235503082227</v>
      </c>
      <c r="I9" s="128">
        <f>VLOOKUP($A9,[0]!Data,67,FALSE)</f>
        <v>0.1072</v>
      </c>
    </row>
    <row r="10" spans="1:9" x14ac:dyDescent="0.2">
      <c r="A10" s="40" t="s">
        <v>775</v>
      </c>
      <c r="B10" s="41" t="s">
        <v>1929</v>
      </c>
      <c r="C10" s="82">
        <f>VLOOKUP($A10,[0]!Data,62,FALSE)</f>
        <v>1</v>
      </c>
      <c r="D10" s="43">
        <f>VLOOKUP($A10,[0]!Data,63,FALSE)</f>
        <v>0</v>
      </c>
      <c r="E10" s="43">
        <f>VLOOKUP($A10,[0]!Data,64,FALSE)</f>
        <v>1</v>
      </c>
      <c r="F10" s="43">
        <f>VLOOKUP($A10,[0]!Data,65,FALSE)</f>
        <v>9.26</v>
      </c>
      <c r="G10" s="43">
        <f>VLOOKUP($A10,[0]!Data,66,FALSE)</f>
        <v>10.26</v>
      </c>
      <c r="H10" s="130">
        <f>'Table 2'!G10/('Table 1'!D10/25000)</f>
        <v>7.3989673176219464</v>
      </c>
      <c r="I10" s="128">
        <f>VLOOKUP($A10,[0]!Data,67,FALSE)</f>
        <v>9.7500000000000003E-2</v>
      </c>
    </row>
    <row r="11" spans="1:9" x14ac:dyDescent="0.2">
      <c r="A11" s="40" t="s">
        <v>804</v>
      </c>
      <c r="B11" s="41" t="s">
        <v>1930</v>
      </c>
      <c r="C11" s="82">
        <f>VLOOKUP($A11,[0]!Data,62,FALSE)</f>
        <v>1</v>
      </c>
      <c r="D11" s="43">
        <f>VLOOKUP($A11,[0]!Data,63,FALSE)</f>
        <v>0</v>
      </c>
      <c r="E11" s="43">
        <f>VLOOKUP($A11,[0]!Data,64,FALSE)</f>
        <v>1</v>
      </c>
      <c r="F11" s="43">
        <f>VLOOKUP($A11,[0]!Data,65,FALSE)</f>
        <v>16</v>
      </c>
      <c r="G11" s="43">
        <f>VLOOKUP($A11,[0]!Data,66,FALSE)</f>
        <v>17</v>
      </c>
      <c r="H11" s="130">
        <f>'Table 2'!G11/('Table 1'!D11/25000)</f>
        <v>3.3268101761252442</v>
      </c>
      <c r="I11" s="128">
        <f>VLOOKUP($A11,[0]!Data,67,FALSE)</f>
        <v>5.8799999999999998E-2</v>
      </c>
    </row>
    <row r="12" spans="1:9" x14ac:dyDescent="0.2">
      <c r="A12" s="40" t="s">
        <v>818</v>
      </c>
      <c r="B12" s="41" t="s">
        <v>1931</v>
      </c>
      <c r="C12" s="82">
        <f>VLOOKUP($A12,[0]!Data,62,FALSE)</f>
        <v>11</v>
      </c>
      <c r="D12" s="43">
        <f>VLOOKUP($A12,[0]!Data,63,FALSE)</f>
        <v>1</v>
      </c>
      <c r="E12" s="43">
        <f>VLOOKUP($A12,[0]!Data,64,FALSE)</f>
        <v>12</v>
      </c>
      <c r="F12" s="43">
        <f>VLOOKUP($A12,[0]!Data,65,FALSE)</f>
        <v>46</v>
      </c>
      <c r="G12" s="43">
        <f>VLOOKUP($A12,[0]!Data,66,FALSE)</f>
        <v>58</v>
      </c>
      <c r="H12" s="130">
        <f>'Table 2'!G12/('Table 1'!D12/25000)</f>
        <v>5.6113248144392935</v>
      </c>
      <c r="I12" s="128">
        <f>VLOOKUP($A12,[0]!Data,67,FALSE)</f>
        <v>0.18970000000000001</v>
      </c>
    </row>
    <row r="13" spans="1:9" x14ac:dyDescent="0.2">
      <c r="A13" s="40" t="s">
        <v>831</v>
      </c>
      <c r="B13" s="41" t="s">
        <v>1932</v>
      </c>
      <c r="C13" s="82">
        <f>VLOOKUP($A13,[0]!Data,62,FALSE)</f>
        <v>2</v>
      </c>
      <c r="D13" s="43">
        <f>VLOOKUP($A13,[0]!Data,63,FALSE)</f>
        <v>2</v>
      </c>
      <c r="E13" s="43">
        <f>VLOOKUP($A13,[0]!Data,64,FALSE)</f>
        <v>4</v>
      </c>
      <c r="F13" s="43">
        <f>VLOOKUP($A13,[0]!Data,65,FALSE)</f>
        <v>17.05</v>
      </c>
      <c r="G13" s="43">
        <f>VLOOKUP($A13,[0]!Data,66,FALSE)</f>
        <v>21.05</v>
      </c>
      <c r="H13" s="130">
        <f>'Table 2'!G13/('Table 1'!D13/25000)</f>
        <v>5.8637057506100483</v>
      </c>
      <c r="I13" s="128">
        <f>VLOOKUP($A13,[0]!Data,67,FALSE)</f>
        <v>9.5000000000000001E-2</v>
      </c>
    </row>
    <row r="14" spans="1:9" x14ac:dyDescent="0.2">
      <c r="A14" s="40" t="s">
        <v>843</v>
      </c>
      <c r="B14" s="41" t="s">
        <v>1933</v>
      </c>
      <c r="C14" s="82">
        <f>VLOOKUP($A14,[0]!Data,62,FALSE)</f>
        <v>10</v>
      </c>
      <c r="D14" s="43">
        <f>VLOOKUP($A14,[0]!Data,63,FALSE)</f>
        <v>0</v>
      </c>
      <c r="E14" s="43">
        <f>VLOOKUP($A14,[0]!Data,64,FALSE)</f>
        <v>10</v>
      </c>
      <c r="F14" s="43">
        <f>VLOOKUP($A14,[0]!Data,65,FALSE)</f>
        <v>38</v>
      </c>
      <c r="G14" s="43">
        <f>VLOOKUP($A14,[0]!Data,66,FALSE)</f>
        <v>48</v>
      </c>
      <c r="H14" s="130">
        <f>'Table 2'!G14/('Table 1'!D14/25000)</f>
        <v>5.9801757174964996</v>
      </c>
      <c r="I14" s="128">
        <f>VLOOKUP($A14,[0]!Data,67,FALSE)</f>
        <v>0.20830000000000001</v>
      </c>
    </row>
    <row r="15" spans="1:9" x14ac:dyDescent="0.2">
      <c r="A15" s="40" t="s">
        <v>855</v>
      </c>
      <c r="B15" s="41" t="s">
        <v>1934</v>
      </c>
      <c r="C15" s="82">
        <f>VLOOKUP($A15,[0]!Data,62,FALSE)</f>
        <v>4</v>
      </c>
      <c r="D15" s="43">
        <f>VLOOKUP($A15,[0]!Data,63,FALSE)</f>
        <v>1</v>
      </c>
      <c r="E15" s="43">
        <f>VLOOKUP($A15,[0]!Data,64,FALSE)</f>
        <v>5</v>
      </c>
      <c r="F15" s="43">
        <f>VLOOKUP($A15,[0]!Data,65,FALSE)</f>
        <v>18</v>
      </c>
      <c r="G15" s="43">
        <f>VLOOKUP($A15,[0]!Data,66,FALSE)</f>
        <v>23</v>
      </c>
      <c r="H15" s="130">
        <f>'Table 2'!G15/('Table 1'!D15/25000)</f>
        <v>6.9467936017010583</v>
      </c>
      <c r="I15" s="128">
        <f>VLOOKUP($A15,[0]!Data,67,FALSE)</f>
        <v>0.1739</v>
      </c>
    </row>
    <row r="16" spans="1:9" x14ac:dyDescent="0.2">
      <c r="A16" s="40" t="s">
        <v>868</v>
      </c>
      <c r="B16" s="41" t="s">
        <v>1935</v>
      </c>
      <c r="C16" s="82">
        <f>VLOOKUP($A16,[0]!Data,62,FALSE)</f>
        <v>1</v>
      </c>
      <c r="D16" s="43">
        <f>VLOOKUP($A16,[0]!Data,63,FALSE)</f>
        <v>0</v>
      </c>
      <c r="E16" s="43">
        <f>VLOOKUP($A16,[0]!Data,64,FALSE)</f>
        <v>1</v>
      </c>
      <c r="F16" s="43">
        <f>VLOOKUP($A16,[0]!Data,65,FALSE)</f>
        <v>4.92</v>
      </c>
      <c r="G16" s="43">
        <f>VLOOKUP($A16,[0]!Data,66,FALSE)</f>
        <v>5.92</v>
      </c>
      <c r="H16" s="130">
        <f>'Table 2'!G16/('Table 1'!D16/25000)</f>
        <v>6.247625480180675</v>
      </c>
      <c r="I16" s="128">
        <f>VLOOKUP($A16,[0]!Data,67,FALSE)</f>
        <v>0.16889999999999999</v>
      </c>
    </row>
    <row r="17" spans="1:9" x14ac:dyDescent="0.2">
      <c r="A17" s="40" t="s">
        <v>881</v>
      </c>
      <c r="B17" s="41" t="s">
        <v>1936</v>
      </c>
      <c r="C17" s="82">
        <f>VLOOKUP($A17,[0]!Data,62,FALSE)</f>
        <v>9</v>
      </c>
      <c r="D17" s="43">
        <f>VLOOKUP($A17,[0]!Data,63,FALSE)</f>
        <v>2</v>
      </c>
      <c r="E17" s="43">
        <f>VLOOKUP($A17,[0]!Data,64,FALSE)</f>
        <v>11</v>
      </c>
      <c r="F17" s="43">
        <f>VLOOKUP($A17,[0]!Data,65,FALSE)</f>
        <v>23.8</v>
      </c>
      <c r="G17" s="43">
        <f>VLOOKUP($A17,[0]!Data,66,FALSE)</f>
        <v>34.799999999999997</v>
      </c>
      <c r="H17" s="130">
        <f>'Table 2'!G17/('Table 1'!D17/25000)</f>
        <v>7.4930237365211703</v>
      </c>
      <c r="I17" s="128">
        <f>VLOOKUP($A17,[0]!Data,67,FALSE)</f>
        <v>0.2586</v>
      </c>
    </row>
    <row r="18" spans="1:9" x14ac:dyDescent="0.2">
      <c r="A18" s="40" t="s">
        <v>932</v>
      </c>
      <c r="B18" s="41" t="s">
        <v>1937</v>
      </c>
      <c r="C18" s="82">
        <f>VLOOKUP($A18,[0]!Data,62,FALSE)</f>
        <v>4</v>
      </c>
      <c r="D18" s="43">
        <f>VLOOKUP($A18,[0]!Data,63,FALSE)</f>
        <v>0</v>
      </c>
      <c r="E18" s="43">
        <f>VLOOKUP($A18,[0]!Data,64,FALSE)</f>
        <v>4</v>
      </c>
      <c r="F18" s="43">
        <f>VLOOKUP($A18,[0]!Data,65,FALSE)</f>
        <v>13.5</v>
      </c>
      <c r="G18" s="43">
        <f>VLOOKUP($A18,[0]!Data,66,FALSE)</f>
        <v>17.5</v>
      </c>
      <c r="H18" s="130">
        <f>'Table 2'!G18/('Table 1'!D18/25000)</f>
        <v>5.9697623011216336</v>
      </c>
      <c r="I18" s="128">
        <f>VLOOKUP($A18,[0]!Data,67,FALSE)</f>
        <v>0.2286</v>
      </c>
    </row>
    <row r="19" spans="1:9" x14ac:dyDescent="0.2">
      <c r="A19" s="40" t="s">
        <v>947</v>
      </c>
      <c r="B19" s="41" t="s">
        <v>1938</v>
      </c>
      <c r="C19" s="82">
        <f>VLOOKUP($A19,[0]!Data,62,FALSE)</f>
        <v>3</v>
      </c>
      <c r="D19" s="43">
        <f>VLOOKUP($A19,[0]!Data,63,FALSE)</f>
        <v>0</v>
      </c>
      <c r="E19" s="43">
        <f>VLOOKUP($A19,[0]!Data,64,FALSE)</f>
        <v>3</v>
      </c>
      <c r="F19" s="43">
        <f>VLOOKUP($A19,[0]!Data,65,FALSE)</f>
        <v>15.25</v>
      </c>
      <c r="G19" s="43">
        <f>VLOOKUP($A19,[0]!Data,66,FALSE)</f>
        <v>18.25</v>
      </c>
      <c r="H19" s="130">
        <f>'Table 2'!G19/('Table 1'!D19/25000)</f>
        <v>5.1494904120720983</v>
      </c>
      <c r="I19" s="128">
        <f>VLOOKUP($A19,[0]!Data,67,FALSE)</f>
        <v>0.16439999999999999</v>
      </c>
    </row>
    <row r="20" spans="1:9" x14ac:dyDescent="0.2">
      <c r="A20" s="40" t="s">
        <v>961</v>
      </c>
      <c r="B20" s="41" t="s">
        <v>1939</v>
      </c>
      <c r="C20" s="82">
        <f>VLOOKUP($A20,[0]!Data,62,FALSE)</f>
        <v>1</v>
      </c>
      <c r="D20" s="43">
        <f>VLOOKUP($A20,[0]!Data,63,FALSE)</f>
        <v>0</v>
      </c>
      <c r="E20" s="43">
        <f>VLOOKUP($A20,[0]!Data,64,FALSE)</f>
        <v>1</v>
      </c>
      <c r="F20" s="43">
        <f>VLOOKUP($A20,[0]!Data,65,FALSE)</f>
        <v>24</v>
      </c>
      <c r="G20" s="43">
        <f>VLOOKUP($A20,[0]!Data,66,FALSE)</f>
        <v>25</v>
      </c>
      <c r="H20" s="130">
        <f>'Table 2'!G20/('Table 1'!D20/25000)</f>
        <v>10.930012941135322</v>
      </c>
      <c r="I20" s="128">
        <f>VLOOKUP($A20,[0]!Data,67,FALSE)</f>
        <v>0.04</v>
      </c>
    </row>
    <row r="21" spans="1:9" x14ac:dyDescent="0.2">
      <c r="A21" s="40" t="s">
        <v>991</v>
      </c>
      <c r="B21" s="41" t="s">
        <v>1940</v>
      </c>
      <c r="C21" s="82">
        <f>VLOOKUP($A21,[0]!Data,62,FALSE)</f>
        <v>47</v>
      </c>
      <c r="D21" s="43">
        <f>VLOOKUP($A21,[0]!Data,63,FALSE)</f>
        <v>0</v>
      </c>
      <c r="E21" s="43">
        <f>VLOOKUP($A21,[0]!Data,64,FALSE)</f>
        <v>47</v>
      </c>
      <c r="F21" s="43">
        <f>VLOOKUP($A21,[0]!Data,65,FALSE)</f>
        <v>134.72999999999999</v>
      </c>
      <c r="G21" s="43">
        <f>VLOOKUP($A21,[0]!Data,66,FALSE)</f>
        <v>181.73</v>
      </c>
      <c r="H21" s="130">
        <f>'Table 2'!G21/('Table 1'!D21/25000)</f>
        <v>13.774770786843892</v>
      </c>
      <c r="I21" s="128">
        <f>VLOOKUP($A21,[0]!Data,67,FALSE)</f>
        <v>0.2586</v>
      </c>
    </row>
    <row r="22" spans="1:9" x14ac:dyDescent="0.2">
      <c r="A22" s="40" t="s">
        <v>1007</v>
      </c>
      <c r="B22" s="41" t="s">
        <v>1941</v>
      </c>
      <c r="C22" s="82">
        <f>VLOOKUP($A22,[0]!Data,62,FALSE)</f>
        <v>7.5</v>
      </c>
      <c r="D22" s="43">
        <f>VLOOKUP($A22,[0]!Data,63,FALSE)</f>
        <v>0</v>
      </c>
      <c r="E22" s="43">
        <f>VLOOKUP($A22,[0]!Data,64,FALSE)</f>
        <v>7.5</v>
      </c>
      <c r="F22" s="43">
        <f>VLOOKUP($A22,[0]!Data,65,FALSE)</f>
        <v>52.85</v>
      </c>
      <c r="G22" s="43">
        <f>VLOOKUP($A22,[0]!Data,66,FALSE)</f>
        <v>60.35</v>
      </c>
      <c r="H22" s="130">
        <f>'Table 2'!G22/('Table 1'!D22/25000)</f>
        <v>9.4221497801758591</v>
      </c>
      <c r="I22" s="128">
        <f>VLOOKUP($A22,[0]!Data,67,FALSE)</f>
        <v>0.12429999999999999</v>
      </c>
    </row>
    <row r="23" spans="1:9" x14ac:dyDescent="0.2">
      <c r="A23" s="40" t="s">
        <v>1024</v>
      </c>
      <c r="B23" s="41" t="s">
        <v>1942</v>
      </c>
      <c r="C23" s="82">
        <f>VLOOKUP($A23,[0]!Data,62,FALSE)</f>
        <v>1.88</v>
      </c>
      <c r="D23" s="43">
        <f>VLOOKUP($A23,[0]!Data,63,FALSE)</f>
        <v>1.41</v>
      </c>
      <c r="E23" s="43">
        <f>VLOOKUP($A23,[0]!Data,64,FALSE)</f>
        <v>3.29</v>
      </c>
      <c r="F23" s="43">
        <f>VLOOKUP($A23,[0]!Data,65,FALSE)</f>
        <v>6.66</v>
      </c>
      <c r="G23" s="43">
        <f>VLOOKUP($A23,[0]!Data,66,FALSE)</f>
        <v>9.9499999999999993</v>
      </c>
      <c r="H23" s="130">
        <f>'Table 2'!G23/('Table 1'!D23/25000)</f>
        <v>5.893013669422662</v>
      </c>
      <c r="I23" s="128">
        <f>VLOOKUP($A23,[0]!Data,67,FALSE)</f>
        <v>0.18890000000000001</v>
      </c>
    </row>
    <row r="24" spans="1:9" x14ac:dyDescent="0.2">
      <c r="A24" s="40" t="s">
        <v>1037</v>
      </c>
      <c r="B24" s="41" t="s">
        <v>1943</v>
      </c>
      <c r="C24" s="82">
        <f>VLOOKUP($A24,[0]!Data,62,FALSE)</f>
        <v>0</v>
      </c>
      <c r="D24" s="43">
        <f>VLOOKUP($A24,[0]!Data,63,FALSE)</f>
        <v>1</v>
      </c>
      <c r="E24" s="43">
        <f>VLOOKUP($A24,[0]!Data,64,FALSE)</f>
        <v>1</v>
      </c>
      <c r="F24" s="43">
        <f>VLOOKUP($A24,[0]!Data,65,FALSE)</f>
        <v>8</v>
      </c>
      <c r="G24" s="43">
        <f>VLOOKUP($A24,[0]!Data,66,FALSE)</f>
        <v>9</v>
      </c>
      <c r="H24" s="130">
        <f>'Table 2'!G24/('Table 1'!D24/25000)</f>
        <v>3.7753578200244977</v>
      </c>
      <c r="I24" s="128">
        <f>VLOOKUP($A24,[0]!Data,67,FALSE)</f>
        <v>0</v>
      </c>
    </row>
    <row r="25" spans="1:9" x14ac:dyDescent="0.2">
      <c r="A25" s="40" t="s">
        <v>1053</v>
      </c>
      <c r="B25" s="41" t="s">
        <v>1944</v>
      </c>
      <c r="C25" s="82">
        <f>VLOOKUP($A25,[0]!Data,62,FALSE)</f>
        <v>49.77</v>
      </c>
      <c r="D25" s="43">
        <f>VLOOKUP($A25,[0]!Data,63,FALSE)</f>
        <v>1</v>
      </c>
      <c r="E25" s="43">
        <f>VLOOKUP($A25,[0]!Data,64,FALSE)</f>
        <v>50.77</v>
      </c>
      <c r="F25" s="43">
        <f>VLOOKUP($A25,[0]!Data,65,FALSE)</f>
        <v>77.03</v>
      </c>
      <c r="G25" s="43">
        <f>VLOOKUP($A25,[0]!Data,66,FALSE)</f>
        <v>127.8</v>
      </c>
      <c r="H25" s="130">
        <f>'Table 2'!G25/('Table 1'!D25/25000)</f>
        <v>10.708540018769272</v>
      </c>
      <c r="I25" s="128">
        <f>VLOOKUP($A25,[0]!Data,67,FALSE)</f>
        <v>0.38940000000000002</v>
      </c>
    </row>
    <row r="26" spans="1:9" x14ac:dyDescent="0.2">
      <c r="A26" s="40" t="s">
        <v>1086</v>
      </c>
      <c r="B26" s="41" t="s">
        <v>1945</v>
      </c>
      <c r="C26" s="82">
        <f>VLOOKUP($A26,[0]!Data,62,FALSE)</f>
        <v>2</v>
      </c>
      <c r="D26" s="43">
        <f>VLOOKUP($A26,[0]!Data,63,FALSE)</f>
        <v>0</v>
      </c>
      <c r="E26" s="43">
        <f>VLOOKUP($A26,[0]!Data,64,FALSE)</f>
        <v>2</v>
      </c>
      <c r="F26" s="43">
        <f>VLOOKUP($A26,[0]!Data,65,FALSE)</f>
        <v>10.95</v>
      </c>
      <c r="G26" s="43">
        <f>VLOOKUP($A26,[0]!Data,66,FALSE)</f>
        <v>12.95</v>
      </c>
      <c r="H26" s="130">
        <f>'Table 2'!G26/('Table 1'!D26/25000)</f>
        <v>6.0511756569847845</v>
      </c>
      <c r="I26" s="128">
        <f>VLOOKUP($A26,[0]!Data,67,FALSE)</f>
        <v>0.15440000000000001</v>
      </c>
    </row>
    <row r="27" spans="1:9" x14ac:dyDescent="0.2">
      <c r="A27" s="40" t="s">
        <v>1132</v>
      </c>
      <c r="B27" s="41" t="s">
        <v>1946</v>
      </c>
      <c r="C27" s="82">
        <f>VLOOKUP($A27,[0]!Data,62,FALSE)</f>
        <v>46.5</v>
      </c>
      <c r="D27" s="43">
        <f>VLOOKUP($A27,[0]!Data,63,FALSE)</f>
        <v>1</v>
      </c>
      <c r="E27" s="43">
        <f>VLOOKUP($A27,[0]!Data,64,FALSE)</f>
        <v>47.5</v>
      </c>
      <c r="F27" s="43">
        <f>VLOOKUP($A27,[0]!Data,65,FALSE)</f>
        <v>56.3</v>
      </c>
      <c r="G27" s="43">
        <f>VLOOKUP($A27,[0]!Data,66,FALSE)</f>
        <v>103.8</v>
      </c>
      <c r="H27" s="130">
        <f>'Table 2'!G27/('Table 1'!D27/25000)</f>
        <v>7.0303673942667961</v>
      </c>
      <c r="I27" s="128">
        <f>VLOOKUP($A27,[0]!Data,67,FALSE)</f>
        <v>0.44800000000000001</v>
      </c>
    </row>
    <row r="28" spans="1:9" x14ac:dyDescent="0.2">
      <c r="A28" s="40" t="s">
        <v>1146</v>
      </c>
      <c r="B28" s="41" t="s">
        <v>1947</v>
      </c>
      <c r="C28" s="82">
        <f>VLOOKUP($A28,[0]!Data,62,FALSE)</f>
        <v>3</v>
      </c>
      <c r="D28" s="43">
        <f>VLOOKUP($A28,[0]!Data,63,FALSE)</f>
        <v>0</v>
      </c>
      <c r="E28" s="43">
        <f>VLOOKUP($A28,[0]!Data,64,FALSE)</f>
        <v>3</v>
      </c>
      <c r="F28" s="43">
        <f>VLOOKUP($A28,[0]!Data,65,FALSE)</f>
        <v>10.57</v>
      </c>
      <c r="G28" s="43">
        <f>VLOOKUP($A28,[0]!Data,66,FALSE)</f>
        <v>13.57</v>
      </c>
      <c r="H28" s="130">
        <f>'Table 2'!G28/('Table 1'!D28/25000)</f>
        <v>5.1837420734968296</v>
      </c>
      <c r="I28" s="128">
        <f>VLOOKUP($A28,[0]!Data,67,FALSE)</f>
        <v>0.22109999999999999</v>
      </c>
    </row>
    <row r="29" spans="1:9" x14ac:dyDescent="0.2">
      <c r="A29" s="40" t="s">
        <v>1161</v>
      </c>
      <c r="B29" s="41" t="s">
        <v>1176</v>
      </c>
      <c r="C29" s="82">
        <f>VLOOKUP($A29,[0]!Data,62,FALSE)</f>
        <v>13.5</v>
      </c>
      <c r="D29" s="43">
        <f>VLOOKUP($A29,[0]!Data,63,FALSE)</f>
        <v>8.5</v>
      </c>
      <c r="E29" s="43">
        <f>VLOOKUP($A29,[0]!Data,64,FALSE)</f>
        <v>22</v>
      </c>
      <c r="F29" s="43">
        <f>VLOOKUP($A29,[0]!Data,65,FALSE)</f>
        <v>34</v>
      </c>
      <c r="G29" s="43">
        <f>VLOOKUP($A29,[0]!Data,66,FALSE)</f>
        <v>56</v>
      </c>
      <c r="H29" s="130">
        <f>'Table 2'!G29/('Table 1'!D29/25000)</f>
        <v>6.5294548371600598</v>
      </c>
      <c r="I29" s="128">
        <f>VLOOKUP($A29,[0]!Data,67,FALSE)</f>
        <v>0.24110000000000001</v>
      </c>
    </row>
    <row r="30" spans="1:9" x14ac:dyDescent="0.2">
      <c r="A30" s="40" t="s">
        <v>1187</v>
      </c>
      <c r="B30" s="41" t="s">
        <v>1948</v>
      </c>
      <c r="C30" s="82">
        <f>VLOOKUP($A30,[0]!Data,62,FALSE)</f>
        <v>5</v>
      </c>
      <c r="D30" s="43">
        <f>VLOOKUP($A30,[0]!Data,63,FALSE)</f>
        <v>0</v>
      </c>
      <c r="E30" s="43">
        <f>VLOOKUP($A30,[0]!Data,64,FALSE)</f>
        <v>5</v>
      </c>
      <c r="F30" s="43">
        <f>VLOOKUP($A30,[0]!Data,65,FALSE)</f>
        <v>18.5</v>
      </c>
      <c r="G30" s="43">
        <f>VLOOKUP($A30,[0]!Data,66,FALSE)</f>
        <v>23.5</v>
      </c>
      <c r="H30" s="130">
        <f>'Table 2'!G30/('Table 1'!D30/25000)</f>
        <v>9.8850806790840107</v>
      </c>
      <c r="I30" s="128">
        <f>VLOOKUP($A30,[0]!Data,67,FALSE)</f>
        <v>0.21279999999999999</v>
      </c>
    </row>
    <row r="31" spans="1:9" x14ac:dyDescent="0.2">
      <c r="A31" s="40" t="s">
        <v>1201</v>
      </c>
      <c r="B31" s="41" t="s">
        <v>1949</v>
      </c>
      <c r="C31" s="82">
        <f>VLOOKUP($A31,[0]!Data,62,FALSE)</f>
        <v>26</v>
      </c>
      <c r="D31" s="43">
        <f>VLOOKUP($A31,[0]!Data,63,FALSE)</f>
        <v>9</v>
      </c>
      <c r="E31" s="43">
        <f>VLOOKUP($A31,[0]!Data,64,FALSE)</f>
        <v>35</v>
      </c>
      <c r="F31" s="43">
        <f>VLOOKUP($A31,[0]!Data,65,FALSE)</f>
        <v>60</v>
      </c>
      <c r="G31" s="43">
        <f>VLOOKUP($A31,[0]!Data,66,FALSE)</f>
        <v>95</v>
      </c>
      <c r="H31" s="130">
        <f>'Table 2'!G31/('Table 1'!D31/25000)</f>
        <v>5.7086405984097528</v>
      </c>
      <c r="I31" s="128">
        <f>VLOOKUP($A31,[0]!Data,67,FALSE)</f>
        <v>0.2737</v>
      </c>
    </row>
    <row r="32" spans="1:9" x14ac:dyDescent="0.2">
      <c r="A32" s="40" t="s">
        <v>1218</v>
      </c>
      <c r="B32" s="41" t="s">
        <v>1950</v>
      </c>
      <c r="C32" s="82">
        <f>VLOOKUP($A32,[0]!Data,62,FALSE)</f>
        <v>1</v>
      </c>
      <c r="D32" s="43">
        <f>VLOOKUP($A32,[0]!Data,63,FALSE)</f>
        <v>0</v>
      </c>
      <c r="E32" s="43">
        <f>VLOOKUP($A32,[0]!Data,64,FALSE)</f>
        <v>1</v>
      </c>
      <c r="F32" s="43">
        <f>VLOOKUP($A32,[0]!Data,65,FALSE)</f>
        <v>9</v>
      </c>
      <c r="G32" s="43">
        <f>VLOOKUP($A32,[0]!Data,66,FALSE)</f>
        <v>10</v>
      </c>
      <c r="H32" s="130">
        <f>'Table 2'!G32/('Table 1'!D32/25000)</f>
        <v>6.7459996222240219</v>
      </c>
      <c r="I32" s="128">
        <f>VLOOKUP($A32,[0]!Data,67,FALSE)</f>
        <v>0.1</v>
      </c>
    </row>
    <row r="33" spans="1:9" x14ac:dyDescent="0.2">
      <c r="A33" s="40" t="s">
        <v>1232</v>
      </c>
      <c r="B33" s="41" t="s">
        <v>1951</v>
      </c>
      <c r="C33" s="82">
        <f>VLOOKUP($A33,[0]!Data,62,FALSE)</f>
        <v>2</v>
      </c>
      <c r="D33" s="43">
        <f>VLOOKUP($A33,[0]!Data,63,FALSE)</f>
        <v>3</v>
      </c>
      <c r="E33" s="43">
        <f>VLOOKUP($A33,[0]!Data,64,FALSE)</f>
        <v>5</v>
      </c>
      <c r="F33" s="43">
        <f>VLOOKUP($A33,[0]!Data,65,FALSE)</f>
        <v>11</v>
      </c>
      <c r="G33" s="43">
        <f>VLOOKUP($A33,[0]!Data,66,FALSE)</f>
        <v>16</v>
      </c>
      <c r="H33" s="130">
        <f>'Table 2'!G33/('Table 1'!D33/25000)</f>
        <v>3.1060000155299998</v>
      </c>
      <c r="I33" s="128">
        <f>VLOOKUP($A33,[0]!Data,67,FALSE)</f>
        <v>0.125</v>
      </c>
    </row>
    <row r="34" spans="1:9" x14ac:dyDescent="0.2">
      <c r="A34" s="40" t="s">
        <v>1256</v>
      </c>
      <c r="B34" s="41" t="s">
        <v>1952</v>
      </c>
      <c r="C34" s="82">
        <f>VLOOKUP($A34,[0]!Data,62,FALSE)</f>
        <v>5</v>
      </c>
      <c r="D34" s="43">
        <f>VLOOKUP($A34,[0]!Data,63,FALSE)</f>
        <v>2</v>
      </c>
      <c r="E34" s="43">
        <f>VLOOKUP($A34,[0]!Data,64,FALSE)</f>
        <v>7</v>
      </c>
      <c r="F34" s="43">
        <f>VLOOKUP($A34,[0]!Data,65,FALSE)</f>
        <v>10</v>
      </c>
      <c r="G34" s="43">
        <f>VLOOKUP($A34,[0]!Data,66,FALSE)</f>
        <v>17</v>
      </c>
      <c r="H34" s="130">
        <f>'Table 2'!G34/('Table 1'!D34/25000)</f>
        <v>6.8802512505868449</v>
      </c>
      <c r="I34" s="128">
        <f>VLOOKUP($A34,[0]!Data,67,FALSE)</f>
        <v>0.29409999999999997</v>
      </c>
    </row>
    <row r="35" spans="1:9" x14ac:dyDescent="0.2">
      <c r="A35" s="40" t="s">
        <v>1268</v>
      </c>
      <c r="B35" s="41" t="s">
        <v>1953</v>
      </c>
      <c r="C35" s="82">
        <f>VLOOKUP($A35,[0]!Data,62,FALSE)</f>
        <v>9.3800000000000008</v>
      </c>
      <c r="D35" s="43">
        <f>VLOOKUP($A35,[0]!Data,63,FALSE)</f>
        <v>0</v>
      </c>
      <c r="E35" s="43">
        <f>VLOOKUP($A35,[0]!Data,64,FALSE)</f>
        <v>9.3800000000000008</v>
      </c>
      <c r="F35" s="43">
        <f>VLOOKUP($A35,[0]!Data,65,FALSE)</f>
        <v>27.02</v>
      </c>
      <c r="G35" s="43">
        <f>VLOOKUP($A35,[0]!Data,66,FALSE)</f>
        <v>36.4</v>
      </c>
      <c r="H35" s="130">
        <f>'Table 2'!G35/('Table 1'!D35/25000)</f>
        <v>7.9555885824190229</v>
      </c>
      <c r="I35" s="128">
        <f>VLOOKUP($A35,[0]!Data,67,FALSE)</f>
        <v>0.25769999999999998</v>
      </c>
    </row>
    <row r="36" spans="1:9" x14ac:dyDescent="0.2">
      <c r="A36" s="40" t="s">
        <v>1328</v>
      </c>
      <c r="B36" s="41" t="s">
        <v>1954</v>
      </c>
      <c r="C36" s="82">
        <f>VLOOKUP($A36,[0]!Data,62,FALSE)</f>
        <v>6</v>
      </c>
      <c r="D36" s="43">
        <f>VLOOKUP($A36,[0]!Data,63,FALSE)</f>
        <v>1</v>
      </c>
      <c r="E36" s="43">
        <f>VLOOKUP($A36,[0]!Data,64,FALSE)</f>
        <v>7</v>
      </c>
      <c r="F36" s="43">
        <f>VLOOKUP($A36,[0]!Data,65,FALSE)</f>
        <v>23.38</v>
      </c>
      <c r="G36" s="43">
        <f>VLOOKUP($A36,[0]!Data,66,FALSE)</f>
        <v>30.38</v>
      </c>
      <c r="H36" s="130">
        <f>'Table 2'!G36/('Table 1'!D36/25000)</f>
        <v>5.6542810985460425</v>
      </c>
      <c r="I36" s="128">
        <f>VLOOKUP($A36,[0]!Data,67,FALSE)</f>
        <v>0.19750000000000001</v>
      </c>
    </row>
    <row r="37" spans="1:9" x14ac:dyDescent="0.2">
      <c r="A37" s="40" t="s">
        <v>1585</v>
      </c>
      <c r="B37" s="41" t="s">
        <v>1316</v>
      </c>
      <c r="C37" s="82">
        <f>VLOOKUP($A37,[0]!Data,62,FALSE)</f>
        <v>5</v>
      </c>
      <c r="D37" s="43">
        <f>VLOOKUP($A37,[0]!Data,63,FALSE)</f>
        <v>1</v>
      </c>
      <c r="E37" s="43">
        <f>VLOOKUP($A37,[0]!Data,64,FALSE)</f>
        <v>6</v>
      </c>
      <c r="F37" s="43">
        <f>VLOOKUP($A37,[0]!Data,65,FALSE)</f>
        <v>20</v>
      </c>
      <c r="G37" s="43">
        <f>VLOOKUP($A37,[0]!Data,66,FALSE)</f>
        <v>26</v>
      </c>
      <c r="H37" s="130">
        <f>'Table 2'!G37/('Table 1'!D37/25000)</f>
        <v>3.8227873412808102</v>
      </c>
      <c r="I37" s="128">
        <f>VLOOKUP($A37,[0]!Data,67,FALSE)</f>
        <v>0.1923</v>
      </c>
    </row>
    <row r="38" spans="1:9" x14ac:dyDescent="0.2">
      <c r="A38" s="40" t="s">
        <v>1352</v>
      </c>
      <c r="B38" s="41" t="s">
        <v>1955</v>
      </c>
      <c r="C38" s="82">
        <f>VLOOKUP($A38,[0]!Data,62,FALSE)</f>
        <v>3</v>
      </c>
      <c r="D38" s="43">
        <f>VLOOKUP($A38,[0]!Data,63,FALSE)</f>
        <v>0</v>
      </c>
      <c r="E38" s="43">
        <f>VLOOKUP($A38,[0]!Data,64,FALSE)</f>
        <v>3</v>
      </c>
      <c r="F38" s="43">
        <f>VLOOKUP($A38,[0]!Data,65,FALSE)</f>
        <v>5</v>
      </c>
      <c r="G38" s="43">
        <f>VLOOKUP($A38,[0]!Data,66,FALSE)</f>
        <v>8</v>
      </c>
      <c r="H38" s="130">
        <f>'Table 2'!G38/('Table 1'!D38/25000)</f>
        <v>3.3758692863412332</v>
      </c>
      <c r="I38" s="128">
        <f>VLOOKUP($A38,[0]!Data,67,FALSE)</f>
        <v>0.375</v>
      </c>
    </row>
    <row r="39" spans="1:9" x14ac:dyDescent="0.2">
      <c r="A39" s="40" t="s">
        <v>1365</v>
      </c>
      <c r="B39" s="41" t="s">
        <v>1956</v>
      </c>
      <c r="C39" s="82">
        <f>VLOOKUP($A39,[0]!Data,62,FALSE)</f>
        <v>3</v>
      </c>
      <c r="D39" s="43">
        <f>VLOOKUP($A39,[0]!Data,63,FALSE)</f>
        <v>1</v>
      </c>
      <c r="E39" s="43">
        <f>VLOOKUP($A39,[0]!Data,64,FALSE)</f>
        <v>4</v>
      </c>
      <c r="F39" s="43">
        <f>VLOOKUP($A39,[0]!Data,65,FALSE)</f>
        <v>18</v>
      </c>
      <c r="G39" s="43">
        <f>VLOOKUP($A39,[0]!Data,66,FALSE)</f>
        <v>22</v>
      </c>
      <c r="H39" s="130">
        <f>'Table 2'!G39/('Table 1'!D39/25000)</f>
        <v>6.7046188728926159</v>
      </c>
      <c r="I39" s="128">
        <f>VLOOKUP($A39,[0]!Data,67,FALSE)</f>
        <v>0.13639999999999999</v>
      </c>
    </row>
    <row r="40" spans="1:9" x14ac:dyDescent="0.2">
      <c r="A40" s="40" t="s">
        <v>1383</v>
      </c>
      <c r="B40" s="41" t="s">
        <v>1957</v>
      </c>
      <c r="C40" s="82">
        <f>VLOOKUP($A40,[0]!Data,62,FALSE)</f>
        <v>1</v>
      </c>
      <c r="D40" s="43">
        <f>VLOOKUP($A40,[0]!Data,63,FALSE)</f>
        <v>0</v>
      </c>
      <c r="E40" s="43">
        <f>VLOOKUP($A40,[0]!Data,64,FALSE)</f>
        <v>1</v>
      </c>
      <c r="F40" s="43">
        <f>VLOOKUP($A40,[0]!Data,65,FALSE)</f>
        <v>10.63</v>
      </c>
      <c r="G40" s="43">
        <f>VLOOKUP($A40,[0]!Data,66,FALSE)</f>
        <v>11.63</v>
      </c>
      <c r="H40" s="130">
        <f>'Table 2'!G40/('Table 1'!D40/25000)</f>
        <v>13.228536330133309</v>
      </c>
      <c r="I40" s="128">
        <f>VLOOKUP($A40,[0]!Data,67,FALSE)</f>
        <v>8.5999999999999993E-2</v>
      </c>
    </row>
    <row r="41" spans="1:9" x14ac:dyDescent="0.2">
      <c r="A41" s="40" t="s">
        <v>1397</v>
      </c>
      <c r="B41" s="41" t="s">
        <v>1958</v>
      </c>
      <c r="C41" s="82">
        <f>VLOOKUP($A41,[0]!Data,62,FALSE)</f>
        <v>2</v>
      </c>
      <c r="D41" s="43">
        <f>VLOOKUP($A41,[0]!Data,63,FALSE)</f>
        <v>0</v>
      </c>
      <c r="E41" s="43">
        <f>VLOOKUP($A41,[0]!Data,64,FALSE)</f>
        <v>2</v>
      </c>
      <c r="F41" s="43">
        <f>VLOOKUP($A41,[0]!Data,65,FALSE)</f>
        <v>17.45</v>
      </c>
      <c r="G41" s="43">
        <f>VLOOKUP($A41,[0]!Data,66,FALSE)</f>
        <v>19.45</v>
      </c>
      <c r="H41" s="130">
        <f>'Table 2'!G41/('Table 1'!D41/25000)</f>
        <v>10.684464952757635</v>
      </c>
      <c r="I41" s="128">
        <f>VLOOKUP($A41,[0]!Data,67,FALSE)</f>
        <v>0.1028</v>
      </c>
    </row>
    <row r="42" spans="1:9" x14ac:dyDescent="0.2">
      <c r="A42" s="40" t="s">
        <v>915</v>
      </c>
      <c r="B42" s="41" t="s">
        <v>1959</v>
      </c>
      <c r="C42" s="82">
        <f>VLOOKUP($A42,[0]!Data,62,FALSE)</f>
        <v>122.6</v>
      </c>
      <c r="D42" s="43">
        <f>VLOOKUP($A42,[0]!Data,63,FALSE)</f>
        <v>1</v>
      </c>
      <c r="E42" s="43">
        <f>VLOOKUP($A42,[0]!Data,64,FALSE)</f>
        <v>123.6</v>
      </c>
      <c r="F42" s="43">
        <f>VLOOKUP($A42,[0]!Data,65,FALSE)</f>
        <v>295.68</v>
      </c>
      <c r="G42" s="43">
        <f>VLOOKUP($A42,[0]!Data,66,FALSE)</f>
        <v>419.28</v>
      </c>
      <c r="H42" s="130">
        <f>'Table 2'!G42/('Table 1'!D42/25000)</f>
        <v>9.9492665239738205</v>
      </c>
      <c r="I42" s="128">
        <f>VLOOKUP($A42,[0]!Data,67,FALSE)</f>
        <v>0.29239999999999999</v>
      </c>
    </row>
    <row r="43" spans="1:9" x14ac:dyDescent="0.2">
      <c r="A43" s="40" t="s">
        <v>789</v>
      </c>
      <c r="B43" s="41" t="s">
        <v>1960</v>
      </c>
      <c r="C43" s="82">
        <f>VLOOKUP($A43,[0]!Data,62,FALSE)</f>
        <v>8.9</v>
      </c>
      <c r="D43" s="43">
        <f>VLOOKUP($A43,[0]!Data,63,FALSE)</f>
        <v>0</v>
      </c>
      <c r="E43" s="43">
        <f>VLOOKUP($A43,[0]!Data,64,FALSE)</f>
        <v>8.9</v>
      </c>
      <c r="F43" s="43">
        <f>VLOOKUP($A43,[0]!Data,65,FALSE)</f>
        <v>17.22</v>
      </c>
      <c r="G43" s="43">
        <f>VLOOKUP($A43,[0]!Data,66,FALSE)</f>
        <v>26.12</v>
      </c>
      <c r="H43" s="130">
        <f>'Table 2'!G43/('Table 1'!D43/25000)</f>
        <v>7.3214485928915796</v>
      </c>
      <c r="I43" s="128">
        <f>VLOOKUP($A43,[0]!Data,67,FALSE)</f>
        <v>0.3407</v>
      </c>
    </row>
    <row r="44" spans="1:9" x14ac:dyDescent="0.2">
      <c r="A44" s="40" t="s">
        <v>1456</v>
      </c>
      <c r="B44" s="41" t="s">
        <v>1961</v>
      </c>
      <c r="C44" s="82">
        <f>VLOOKUP($A44,[0]!Data,62,FALSE)</f>
        <v>15</v>
      </c>
      <c r="D44" s="43">
        <f>VLOOKUP($A44,[0]!Data,63,FALSE)</f>
        <v>0</v>
      </c>
      <c r="E44" s="43">
        <f>VLOOKUP($A44,[0]!Data,64,FALSE)</f>
        <v>15</v>
      </c>
      <c r="F44" s="43">
        <f>VLOOKUP($A44,[0]!Data,65,FALSE)</f>
        <v>31</v>
      </c>
      <c r="G44" s="43">
        <f>VLOOKUP($A44,[0]!Data,66,FALSE)</f>
        <v>46</v>
      </c>
      <c r="H44" s="130">
        <f>'Table 2'!G44/('Table 1'!D44/25000)</f>
        <v>5.1429286966477052</v>
      </c>
      <c r="I44" s="128">
        <f>VLOOKUP($A44,[0]!Data,67,FALSE)</f>
        <v>0.3261</v>
      </c>
    </row>
    <row r="45" spans="1:9" x14ac:dyDescent="0.2">
      <c r="A45" s="40" t="s">
        <v>1489</v>
      </c>
      <c r="B45" s="41" t="s">
        <v>1962</v>
      </c>
      <c r="C45" s="82">
        <f>VLOOKUP($A45,[0]!Data,62,FALSE)</f>
        <v>6</v>
      </c>
      <c r="D45" s="43">
        <f>VLOOKUP($A45,[0]!Data,63,FALSE)</f>
        <v>0</v>
      </c>
      <c r="E45" s="43">
        <f>VLOOKUP($A45,[0]!Data,64,FALSE)</f>
        <v>6</v>
      </c>
      <c r="F45" s="43">
        <f>VLOOKUP($A45,[0]!Data,65,FALSE)</f>
        <v>28.5</v>
      </c>
      <c r="G45" s="43">
        <f>VLOOKUP($A45,[0]!Data,66,FALSE)</f>
        <v>34.5</v>
      </c>
      <c r="H45" s="130">
        <f>'Table 2'!G45/('Table 1'!D45/25000)</f>
        <v>4.4478480150994768</v>
      </c>
      <c r="I45" s="128">
        <f>VLOOKUP($A45,[0]!Data,67,FALSE)</f>
        <v>0.1739</v>
      </c>
    </row>
    <row r="46" spans="1:9" x14ac:dyDescent="0.2">
      <c r="A46" s="40" t="s">
        <v>1501</v>
      </c>
      <c r="B46" s="41" t="s">
        <v>1516</v>
      </c>
      <c r="C46" s="82">
        <f>VLOOKUP($A46,[0]!Data,62,FALSE)</f>
        <v>12.15</v>
      </c>
      <c r="D46" s="43">
        <f>VLOOKUP($A46,[0]!Data,63,FALSE)</f>
        <v>0</v>
      </c>
      <c r="E46" s="43">
        <f>VLOOKUP($A46,[0]!Data,64,FALSE)</f>
        <v>12.15</v>
      </c>
      <c r="F46" s="43">
        <f>VLOOKUP($A46,[0]!Data,65,FALSE)</f>
        <v>12.13</v>
      </c>
      <c r="G46" s="43">
        <f>VLOOKUP($A46,[0]!Data,66,FALSE)</f>
        <v>24.28</v>
      </c>
      <c r="H46" s="130">
        <f>'Table 2'!G46/('Table 1'!D46/25000)</f>
        <v>7.212366773208494</v>
      </c>
      <c r="I46" s="128">
        <f>VLOOKUP($A46,[0]!Data,67,FALSE)</f>
        <v>0.50039999999999996</v>
      </c>
    </row>
    <row r="47" spans="1:9" x14ac:dyDescent="0.2">
      <c r="A47" s="40" t="s">
        <v>1518</v>
      </c>
      <c r="B47" s="41" t="s">
        <v>1963</v>
      </c>
      <c r="C47" s="82">
        <f>VLOOKUP($A47,[0]!Data,62,FALSE)</f>
        <v>2</v>
      </c>
      <c r="D47" s="43">
        <f>VLOOKUP($A47,[0]!Data,63,FALSE)</f>
        <v>0</v>
      </c>
      <c r="E47" s="43">
        <f>VLOOKUP($A47,[0]!Data,64,FALSE)</f>
        <v>2</v>
      </c>
      <c r="F47" s="43">
        <f>VLOOKUP($A47,[0]!Data,65,FALSE)</f>
        <v>10.8</v>
      </c>
      <c r="G47" s="43">
        <f>VLOOKUP($A47,[0]!Data,66,FALSE)</f>
        <v>12.8</v>
      </c>
      <c r="H47" s="130">
        <f>'Table 2'!G47/('Table 1'!D47/25000)</f>
        <v>5.3818597689163967</v>
      </c>
      <c r="I47" s="128">
        <f>VLOOKUP($A47,[0]!Data,67,FALSE)</f>
        <v>0.15629999999999999</v>
      </c>
    </row>
    <row r="48" spans="1:9" x14ac:dyDescent="0.2">
      <c r="A48" s="40" t="s">
        <v>1544</v>
      </c>
      <c r="B48" s="41" t="s">
        <v>1964</v>
      </c>
      <c r="C48" s="82">
        <f>VLOOKUP($A48,[0]!Data,62,FALSE)</f>
        <v>4</v>
      </c>
      <c r="D48" s="43">
        <f>VLOOKUP($A48,[0]!Data,63,FALSE)</f>
        <v>0</v>
      </c>
      <c r="E48" s="43">
        <f>VLOOKUP($A48,[0]!Data,64,FALSE)</f>
        <v>4</v>
      </c>
      <c r="F48" s="43">
        <f>VLOOKUP($A48,[0]!Data,65,FALSE)</f>
        <v>3</v>
      </c>
      <c r="G48" s="43">
        <f>VLOOKUP($A48,[0]!Data,66,FALSE)</f>
        <v>7</v>
      </c>
      <c r="H48" s="130">
        <f>'Table 2'!G48/('Table 1'!D48/25000)</f>
        <v>4.4049536850583966</v>
      </c>
      <c r="I48" s="128">
        <f>VLOOKUP($A48,[0]!Data,67,FALSE)</f>
        <v>0.57140000000000002</v>
      </c>
    </row>
    <row r="49" spans="1:9" x14ac:dyDescent="0.2">
      <c r="A49" s="40" t="s">
        <v>1727</v>
      </c>
      <c r="B49" s="41" t="s">
        <v>1965</v>
      </c>
      <c r="C49" s="82">
        <f>VLOOKUP($A49,[0]!Data,62,FALSE)</f>
        <v>1</v>
      </c>
      <c r="D49" s="43">
        <f>VLOOKUP($A49,[0]!Data,63,FALSE)</f>
        <v>4</v>
      </c>
      <c r="E49" s="43">
        <f>VLOOKUP($A49,[0]!Data,64,FALSE)</f>
        <v>5</v>
      </c>
      <c r="F49" s="43">
        <f>VLOOKUP($A49,[0]!Data,65,FALSE)</f>
        <v>30.81</v>
      </c>
      <c r="G49" s="43">
        <f>VLOOKUP($A49,[0]!Data,66,FALSE)</f>
        <v>35.81</v>
      </c>
      <c r="H49" s="130">
        <f>'Table 2'!G49/('Table 1'!D49/25000)</f>
        <v>5.2288058873346381</v>
      </c>
      <c r="I49" s="128">
        <f>VLOOKUP($A49,[0]!Data,67,FALSE)</f>
        <v>2.7900000000000001E-2</v>
      </c>
    </row>
    <row r="50" spans="1:9" x14ac:dyDescent="0.2">
      <c r="A50" s="40" t="s">
        <v>1573</v>
      </c>
      <c r="B50" s="41" t="s">
        <v>1966</v>
      </c>
      <c r="C50" s="82">
        <f>VLOOKUP($A50,[0]!Data,62,FALSE)</f>
        <v>2.81</v>
      </c>
      <c r="D50" s="43">
        <f>VLOOKUP($A50,[0]!Data,63,FALSE)</f>
        <v>0</v>
      </c>
      <c r="E50" s="43">
        <f>VLOOKUP($A50,[0]!Data,64,FALSE)</f>
        <v>2.81</v>
      </c>
      <c r="F50" s="43">
        <f>VLOOKUP($A50,[0]!Data,65,FALSE)</f>
        <v>7.95</v>
      </c>
      <c r="G50" s="43">
        <f>VLOOKUP($A50,[0]!Data,66,FALSE)</f>
        <v>10.76</v>
      </c>
      <c r="H50" s="130">
        <f>'Table 2'!G50/('Table 1'!D50/25000)</f>
        <v>12.791250594388968</v>
      </c>
      <c r="I50" s="128">
        <f>VLOOKUP($A50,[0]!Data,67,FALSE)</f>
        <v>0.26119999999999999</v>
      </c>
    </row>
    <row r="51" spans="1:9" x14ac:dyDescent="0.2">
      <c r="A51" s="40" t="s">
        <v>1597</v>
      </c>
      <c r="B51" s="41" t="s">
        <v>1967</v>
      </c>
      <c r="C51" s="82">
        <f>VLOOKUP($A51,[0]!Data,62,FALSE)</f>
        <v>14</v>
      </c>
      <c r="D51" s="43">
        <f>VLOOKUP($A51,[0]!Data,63,FALSE)</f>
        <v>0</v>
      </c>
      <c r="E51" s="43">
        <f>VLOOKUP($A51,[0]!Data,64,FALSE)</f>
        <v>14</v>
      </c>
      <c r="F51" s="43">
        <f>SUM('Table 2'!C8:C65,'Table 2'!C68:C79)</f>
        <v>716.18000000000006</v>
      </c>
      <c r="G51" s="43">
        <f>VLOOKUP($A51,[0]!Data,66,FALSE)</f>
        <v>43.95</v>
      </c>
      <c r="H51" s="130">
        <f>'Table 2'!G51/('Table 1'!D51/25000)</f>
        <v>7.6460845783954197</v>
      </c>
      <c r="I51" s="128">
        <f>VLOOKUP($A51,[0]!Data,67,FALSE)</f>
        <v>0.31850000000000001</v>
      </c>
    </row>
    <row r="52" spans="1:9" x14ac:dyDescent="0.2">
      <c r="A52" s="40" t="s">
        <v>1625</v>
      </c>
      <c r="B52" s="41" t="s">
        <v>1968</v>
      </c>
      <c r="C52" s="82">
        <f>VLOOKUP($A52,[0]!Data,62,FALSE)</f>
        <v>5</v>
      </c>
      <c r="D52" s="43">
        <f>VLOOKUP($A52,[0]!Data,63,FALSE)</f>
        <v>0</v>
      </c>
      <c r="E52" s="43">
        <f>VLOOKUP($A52,[0]!Data,64,FALSE)</f>
        <v>5</v>
      </c>
      <c r="F52" s="43">
        <f>VLOOKUP($A52,[0]!Data,65,FALSE)</f>
        <v>14.85</v>
      </c>
      <c r="G52" s="43">
        <f>VLOOKUP($A52,[0]!Data,66,FALSE)</f>
        <v>19.850000000000001</v>
      </c>
      <c r="H52" s="130">
        <f>'Table 2'!G52/('Table 1'!D52/25000)</f>
        <v>3.7408504639785312</v>
      </c>
      <c r="I52" s="128">
        <f>VLOOKUP($A52,[0]!Data,67,FALSE)</f>
        <v>0.25190000000000001</v>
      </c>
    </row>
    <row r="53" spans="1:9" x14ac:dyDescent="0.2">
      <c r="A53" s="40" t="s">
        <v>1638</v>
      </c>
      <c r="B53" s="41" t="s">
        <v>1969</v>
      </c>
      <c r="C53" s="82">
        <f>VLOOKUP($A53,[0]!Data,62,FALSE)</f>
        <v>8</v>
      </c>
      <c r="D53" s="43">
        <f>VLOOKUP($A53,[0]!Data,63,FALSE)</f>
        <v>0</v>
      </c>
      <c r="E53" s="43">
        <f>VLOOKUP($A53,[0]!Data,64,FALSE)</f>
        <v>8</v>
      </c>
      <c r="F53" s="43">
        <f>VLOOKUP($A53,[0]!Data,65,FALSE)</f>
        <v>28.3</v>
      </c>
      <c r="G53" s="43">
        <f>VLOOKUP($A53,[0]!Data,66,FALSE)</f>
        <v>36.299999999999997</v>
      </c>
      <c r="H53" s="130">
        <f>'Table 2'!G53/('Table 1'!D53/25000)</f>
        <v>9.8758311477729048</v>
      </c>
      <c r="I53" s="128">
        <f>VLOOKUP($A53,[0]!Data,67,FALSE)</f>
        <v>0.22040000000000001</v>
      </c>
    </row>
    <row r="54" spans="1:9" x14ac:dyDescent="0.2">
      <c r="A54" s="40" t="s">
        <v>1655</v>
      </c>
      <c r="B54" s="41" t="s">
        <v>1970</v>
      </c>
      <c r="C54" s="82">
        <f>VLOOKUP($A54,[0]!Data,62,FALSE)</f>
        <v>10</v>
      </c>
      <c r="D54" s="43">
        <f>VLOOKUP($A54,[0]!Data,63,FALSE)</f>
        <v>1</v>
      </c>
      <c r="E54" s="43">
        <f>VLOOKUP($A54,[0]!Data,64,FALSE)</f>
        <v>11</v>
      </c>
      <c r="F54" s="43">
        <f>VLOOKUP($A54,[0]!Data,65,FALSE)</f>
        <v>35.799999999999997</v>
      </c>
      <c r="G54" s="43">
        <f>VLOOKUP($A54,[0]!Data,66,FALSE)</f>
        <v>46.8</v>
      </c>
      <c r="H54" s="130">
        <f>'Table 2'!G54/('Table 1'!D54/25000)</f>
        <v>8.2996382208980624</v>
      </c>
      <c r="I54" s="128">
        <f>VLOOKUP($A54,[0]!Data,67,FALSE)</f>
        <v>0.2137</v>
      </c>
    </row>
    <row r="55" spans="1:9" x14ac:dyDescent="0.2">
      <c r="A55" s="40" t="s">
        <v>1671</v>
      </c>
      <c r="B55" s="41" t="s">
        <v>1971</v>
      </c>
      <c r="C55" s="82">
        <f>VLOOKUP($A55,[0]!Data,62,FALSE)</f>
        <v>1</v>
      </c>
      <c r="D55" s="43">
        <f>VLOOKUP($A55,[0]!Data,63,FALSE)</f>
        <v>2</v>
      </c>
      <c r="E55" s="43">
        <f>VLOOKUP($A55,[0]!Data,64,FALSE)</f>
        <v>3</v>
      </c>
      <c r="F55" s="43">
        <f>VLOOKUP($A55,[0]!Data,65,FALSE)</f>
        <v>6.58</v>
      </c>
      <c r="G55" s="43">
        <f>VLOOKUP($A55,[0]!Data,66,FALSE)</f>
        <v>9.58</v>
      </c>
      <c r="H55" s="130">
        <f>'Table 2'!G55/('Table 1'!D55/25000)</f>
        <v>3.5375094161263165</v>
      </c>
      <c r="I55" s="128">
        <f>VLOOKUP($A55,[0]!Data,67,FALSE)</f>
        <v>0.10440000000000001</v>
      </c>
    </row>
    <row r="56" spans="1:9" x14ac:dyDescent="0.2">
      <c r="A56" s="40" t="s">
        <v>1683</v>
      </c>
      <c r="B56" s="41" t="s">
        <v>1972</v>
      </c>
      <c r="C56" s="82">
        <f>VLOOKUP($A56,[0]!Data,62,FALSE)</f>
        <v>1</v>
      </c>
      <c r="D56" s="43">
        <f>VLOOKUP($A56,[0]!Data,63,FALSE)</f>
        <v>0</v>
      </c>
      <c r="E56" s="43">
        <f>VLOOKUP($A56,[0]!Data,64,FALSE)</f>
        <v>1</v>
      </c>
      <c r="F56" s="43">
        <f>VLOOKUP($A56,[0]!Data,65,FALSE)</f>
        <v>12.3</v>
      </c>
      <c r="G56" s="43">
        <f>VLOOKUP($A56,[0]!Data,66,FALSE)</f>
        <v>13.3</v>
      </c>
      <c r="H56" s="130">
        <f>'Table 2'!G56/('Table 1'!D56/25000)</f>
        <v>5.2363029339044704</v>
      </c>
      <c r="I56" s="128">
        <f>VLOOKUP($A56,[0]!Data,67,FALSE)</f>
        <v>7.5200000000000003E-2</v>
      </c>
    </row>
    <row r="57" spans="1:9" x14ac:dyDescent="0.2">
      <c r="A57" s="40" t="s">
        <v>1714</v>
      </c>
      <c r="B57" s="41" t="s">
        <v>1973</v>
      </c>
      <c r="C57" s="82">
        <f>VLOOKUP($A57,[0]!Data,62,FALSE)</f>
        <v>1</v>
      </c>
      <c r="D57" s="43">
        <f>VLOOKUP($A57,[0]!Data,63,FALSE)</f>
        <v>0</v>
      </c>
      <c r="E57" s="43">
        <f>VLOOKUP($A57,[0]!Data,64,FALSE)</f>
        <v>1</v>
      </c>
      <c r="F57" s="43">
        <f>VLOOKUP($A57,[0]!Data,65,FALSE)</f>
        <v>5.3</v>
      </c>
      <c r="G57" s="43">
        <f>VLOOKUP($A57,[0]!Data,66,FALSE)</f>
        <v>6.3</v>
      </c>
      <c r="H57" s="130">
        <f>'Table 2'!G57/('Table 1'!D57/25000)</f>
        <v>4.4007935399144991</v>
      </c>
      <c r="I57" s="128">
        <f>VLOOKUP($A57,[0]!Data,67,FALSE)</f>
        <v>0.15870000000000001</v>
      </c>
    </row>
    <row r="58" spans="1:9" x14ac:dyDescent="0.2">
      <c r="A58" s="40" t="s">
        <v>1756</v>
      </c>
      <c r="B58" s="41" t="s">
        <v>1974</v>
      </c>
      <c r="C58" s="82">
        <f>VLOOKUP($A58,[0]!Data,62,FALSE)</f>
        <v>3.75</v>
      </c>
      <c r="D58" s="43">
        <f>VLOOKUP($A58,[0]!Data,63,FALSE)</f>
        <v>0</v>
      </c>
      <c r="E58" s="43">
        <f>VLOOKUP($A58,[0]!Data,64,FALSE)</f>
        <v>3.75</v>
      </c>
      <c r="F58" s="43">
        <f>VLOOKUP($A58,[0]!Data,65,FALSE)</f>
        <v>10</v>
      </c>
      <c r="G58" s="43">
        <f>VLOOKUP($A58,[0]!Data,66,FALSE)</f>
        <v>13.75</v>
      </c>
      <c r="H58" s="130">
        <f>'Table 2'!G58/('Table 1'!D58/25000)</f>
        <v>5.566711470259591</v>
      </c>
      <c r="I58" s="128">
        <f>VLOOKUP($A58,[0]!Data,67,FALSE)</f>
        <v>0.2727</v>
      </c>
    </row>
    <row r="59" spans="1:9" x14ac:dyDescent="0.2">
      <c r="A59" s="40" t="s">
        <v>1768</v>
      </c>
      <c r="B59" s="41" t="s">
        <v>1975</v>
      </c>
      <c r="C59" s="82">
        <f>VLOOKUP($A59,[0]!Data,62,FALSE)</f>
        <v>4.6900000000000004</v>
      </c>
      <c r="D59" s="43">
        <f>VLOOKUP($A59,[0]!Data,63,FALSE)</f>
        <v>0.94</v>
      </c>
      <c r="E59" s="43">
        <f>VLOOKUP($A59,[0]!Data,64,FALSE)</f>
        <v>5.63</v>
      </c>
      <c r="F59" s="43">
        <f>VLOOKUP($A59,[0]!Data,65,FALSE)</f>
        <v>12.19</v>
      </c>
      <c r="G59" s="43">
        <f>VLOOKUP($A59,[0]!Data,66,FALSE)</f>
        <v>17.82</v>
      </c>
      <c r="H59" s="130">
        <f>'Table 2'!G59/('Table 1'!D59/25000)</f>
        <v>13.049591376431646</v>
      </c>
      <c r="I59" s="128">
        <f>VLOOKUP($A59,[0]!Data,67,FALSE)</f>
        <v>0.26319999999999999</v>
      </c>
    </row>
    <row r="60" spans="1:9" x14ac:dyDescent="0.2">
      <c r="A60" s="40" t="s">
        <v>1784</v>
      </c>
      <c r="B60" s="41" t="s">
        <v>1976</v>
      </c>
      <c r="C60" s="82">
        <f>VLOOKUP($A60,[0]!Data,62,FALSE)</f>
        <v>5</v>
      </c>
      <c r="D60" s="43">
        <f>VLOOKUP($A60,[0]!Data,63,FALSE)</f>
        <v>4</v>
      </c>
      <c r="E60" s="43">
        <f>VLOOKUP($A60,[0]!Data,64,FALSE)</f>
        <v>9</v>
      </c>
      <c r="F60" s="43">
        <f>VLOOKUP($A60,[0]!Data,65,FALSE)</f>
        <v>44.53</v>
      </c>
      <c r="G60" s="43">
        <f>VLOOKUP($A60,[0]!Data,66,FALSE)</f>
        <v>53.53</v>
      </c>
      <c r="H60" s="130">
        <f>'Table 2'!G60/('Table 1'!D60/25000)</f>
        <v>5.9765982627336269</v>
      </c>
      <c r="I60" s="128">
        <f>VLOOKUP($A60,[0]!Data,67,FALSE)</f>
        <v>9.3399999999999997E-2</v>
      </c>
    </row>
    <row r="61" spans="1:9" x14ac:dyDescent="0.2">
      <c r="A61" s="40" t="s">
        <v>1531</v>
      </c>
      <c r="B61" s="41" t="s">
        <v>1977</v>
      </c>
      <c r="C61" s="82">
        <f>VLOOKUP($A61,[0]!Data,62,FALSE)</f>
        <v>3</v>
      </c>
      <c r="D61" s="43">
        <f>VLOOKUP($A61,[0]!Data,63,FALSE)</f>
        <v>0</v>
      </c>
      <c r="E61" s="43">
        <f>VLOOKUP($A61,[0]!Data,64,FALSE)</f>
        <v>3</v>
      </c>
      <c r="F61" s="43">
        <f>VLOOKUP($A61,[0]!Data,65,FALSE)</f>
        <v>12</v>
      </c>
      <c r="G61" s="43">
        <f>VLOOKUP($A61,[0]!Data,66,FALSE)</f>
        <v>15</v>
      </c>
      <c r="H61" s="130">
        <f>'Table 2'!G61/('Table 1'!D61/25000)</f>
        <v>8.3435309823117141</v>
      </c>
      <c r="I61" s="128">
        <f>VLOOKUP($A61,[0]!Data,67,FALSE)</f>
        <v>0.2</v>
      </c>
    </row>
    <row r="62" spans="1:9" x14ac:dyDescent="0.2">
      <c r="A62" s="40" t="s">
        <v>1799</v>
      </c>
      <c r="B62" s="41" t="s">
        <v>1978</v>
      </c>
      <c r="C62" s="82">
        <f>VLOOKUP($A62,[0]!Data,62,FALSE)</f>
        <v>125</v>
      </c>
      <c r="D62" s="43">
        <f>VLOOKUP($A62,[0]!Data,63,FALSE)</f>
        <v>1</v>
      </c>
      <c r="E62" s="43">
        <f>VLOOKUP($A62,[0]!Data,64,FALSE)</f>
        <v>126</v>
      </c>
      <c r="F62" s="43">
        <f>VLOOKUP($A62,[0]!Data,65,FALSE)</f>
        <v>121</v>
      </c>
      <c r="G62" s="43">
        <f>VLOOKUP($A62,[0]!Data,66,FALSE)</f>
        <v>247</v>
      </c>
      <c r="H62" s="130">
        <f>'Table 2'!G62/('Table 1'!D62/25000)</f>
        <v>6.0141339452329099</v>
      </c>
      <c r="I62" s="128">
        <f>VLOOKUP($A62,[0]!Data,67,FALSE)</f>
        <v>0.50609999999999999</v>
      </c>
    </row>
    <row r="63" spans="1:9" x14ac:dyDescent="0.2">
      <c r="A63" s="40" t="s">
        <v>1814</v>
      </c>
      <c r="B63" s="41" t="s">
        <v>1979</v>
      </c>
      <c r="C63" s="82">
        <f>VLOOKUP($A63,[0]!Data,62,FALSE)</f>
        <v>1</v>
      </c>
      <c r="D63" s="43">
        <f>VLOOKUP($A63,[0]!Data,63,FALSE)</f>
        <v>0</v>
      </c>
      <c r="E63" s="43">
        <f>VLOOKUP($A63,[0]!Data,64,FALSE)</f>
        <v>1</v>
      </c>
      <c r="F63" s="43">
        <f>VLOOKUP($A63,[0]!Data,65,FALSE)</f>
        <v>7</v>
      </c>
      <c r="G63" s="43">
        <f>VLOOKUP($A63,[0]!Data,66,FALSE)</f>
        <v>8</v>
      </c>
      <c r="H63" s="130">
        <f>'Table 2'!G63/('Table 1'!D63/25000)</f>
        <v>9.939863823865613</v>
      </c>
      <c r="I63" s="128">
        <f>VLOOKUP($A63,[0]!Data,67,FALSE)</f>
        <v>0.125</v>
      </c>
    </row>
    <row r="64" spans="1:9" x14ac:dyDescent="0.2">
      <c r="A64" s="40" t="s">
        <v>1826</v>
      </c>
      <c r="B64" s="41" t="s">
        <v>1980</v>
      </c>
      <c r="C64" s="82">
        <f>VLOOKUP($A64,[0]!Data,62,FALSE)</f>
        <v>9</v>
      </c>
      <c r="D64" s="43">
        <f>VLOOKUP($A64,[0]!Data,63,FALSE)</f>
        <v>5.3</v>
      </c>
      <c r="E64" s="43">
        <f>VLOOKUP($A64,[0]!Data,64,FALSE)</f>
        <v>14.3</v>
      </c>
      <c r="F64" s="43">
        <f>VLOOKUP($A64,[0]!Data,65,FALSE)</f>
        <v>22.23</v>
      </c>
      <c r="G64" s="43">
        <f>VLOOKUP($A64,[0]!Data,66,FALSE)</f>
        <v>36.53</v>
      </c>
      <c r="H64" s="130">
        <f>'Table 2'!G64/('Table 1'!D64/25000)</f>
        <v>7.3172392795333634</v>
      </c>
      <c r="I64" s="128">
        <f>VLOOKUP($A64,[0]!Data,67,FALSE)</f>
        <v>0.24640000000000001</v>
      </c>
    </row>
    <row r="65" spans="1:9" x14ac:dyDescent="0.2">
      <c r="A65" s="40" t="s">
        <v>1842</v>
      </c>
      <c r="B65" s="41" t="s">
        <v>1981</v>
      </c>
      <c r="C65" s="84">
        <f>VLOOKUP($A65,[0]!Data,62,FALSE)</f>
        <v>6</v>
      </c>
      <c r="D65" s="85">
        <f>VLOOKUP($A65,[0]!Data,63,FALSE)</f>
        <v>3</v>
      </c>
      <c r="E65" s="85">
        <f>VLOOKUP($A65,[0]!Data,64,FALSE)</f>
        <v>9</v>
      </c>
      <c r="F65" s="85">
        <f>VLOOKUP($A65,[0]!Data,65,FALSE)</f>
        <v>19.190000000000001</v>
      </c>
      <c r="G65" s="85">
        <f>VLOOKUP($A65,[0]!Data,66,FALSE)</f>
        <v>28.19</v>
      </c>
      <c r="H65" s="621">
        <f>'Table 2'!G65/('Table 1'!D65/25000)</f>
        <v>8.6199515643729061</v>
      </c>
      <c r="I65" s="129">
        <f>VLOOKUP($A65,[0]!Data,67,FALSE)</f>
        <v>0.21279999999999999</v>
      </c>
    </row>
    <row r="66" spans="1:9" ht="13.5" thickBot="1" x14ac:dyDescent="0.25">
      <c r="A66" s="658" t="s">
        <v>1882</v>
      </c>
      <c r="B66" s="659"/>
      <c r="C66" s="127">
        <f t="shared" ref="C66:I66" si="0">AVERAGE(C8:C65)</f>
        <v>11.54189655172414</v>
      </c>
      <c r="D66" s="127">
        <f t="shared" si="0"/>
        <v>1.0025862068965516</v>
      </c>
      <c r="E66" s="127">
        <f t="shared" si="0"/>
        <v>12.544482758620687</v>
      </c>
      <c r="F66" s="127">
        <f t="shared" si="0"/>
        <v>41.294827586206921</v>
      </c>
      <c r="G66" s="127">
        <f t="shared" si="0"/>
        <v>42.007758620689657</v>
      </c>
      <c r="H66" s="127">
        <f t="shared" si="0"/>
        <v>6.9949855806230259</v>
      </c>
      <c r="I66" s="127">
        <f t="shared" si="0"/>
        <v>0.21212241379310343</v>
      </c>
    </row>
    <row r="67" spans="1:9" ht="14.25" thickTop="1" thickBot="1" x14ac:dyDescent="0.25">
      <c r="A67" s="650" t="s">
        <v>1866</v>
      </c>
      <c r="B67" s="651"/>
      <c r="C67" s="112"/>
      <c r="D67" s="112"/>
      <c r="E67" s="112"/>
      <c r="F67" s="113"/>
      <c r="G67" s="113"/>
      <c r="H67" s="113"/>
      <c r="I67" s="114"/>
    </row>
    <row r="68" spans="1:9" ht="13.5" thickTop="1" x14ac:dyDescent="0.2">
      <c r="A68" s="55" t="s">
        <v>692</v>
      </c>
      <c r="B68" s="55" t="s">
        <v>1982</v>
      </c>
      <c r="C68" s="82">
        <f>VLOOKUP($A68,[0]!Data,62,FALSE)</f>
        <v>1</v>
      </c>
      <c r="D68" s="43">
        <f>VLOOKUP($A68,[0]!Data,63,FALSE)</f>
        <v>1</v>
      </c>
      <c r="E68" s="43">
        <f>VLOOKUP($A68,[0]!Data,64,FALSE)</f>
        <v>2</v>
      </c>
      <c r="F68" s="43">
        <f>VLOOKUP($A68,[0]!Data,65,FALSE)</f>
        <v>17</v>
      </c>
      <c r="G68" s="43">
        <f>VLOOKUP($A68,[0]!Data,66,FALSE)</f>
        <v>19</v>
      </c>
      <c r="H68" s="130">
        <f>'Table 2'!G68/('Table 1'!D68/25000)</f>
        <v>6.2039600856799542</v>
      </c>
      <c r="I68" s="128">
        <f>VLOOKUP($A68,[0]!Data,67,FALSE)</f>
        <v>5.2600000000000001E-2</v>
      </c>
    </row>
    <row r="69" spans="1:9" x14ac:dyDescent="0.2">
      <c r="A69" s="55" t="s">
        <v>739</v>
      </c>
      <c r="B69" s="55" t="s">
        <v>1983</v>
      </c>
      <c r="C69" s="82">
        <f>VLOOKUP($A69,[0]!Data,62,FALSE)</f>
        <v>2</v>
      </c>
      <c r="D69" s="43">
        <f>VLOOKUP($A69,[0]!Data,63,FALSE)</f>
        <v>0</v>
      </c>
      <c r="E69" s="43">
        <f>VLOOKUP($A69,[0]!Data,64,FALSE)</f>
        <v>2</v>
      </c>
      <c r="F69" s="43">
        <f>VLOOKUP($A69,[0]!Data,65,FALSE)</f>
        <v>17</v>
      </c>
      <c r="G69" s="43">
        <f>VLOOKUP($A69,[0]!Data,66,FALSE)</f>
        <v>19</v>
      </c>
      <c r="H69" s="130">
        <f>'Table 2'!G69/('Table 1'!D69/25000)</f>
        <v>9.2222265367141691</v>
      </c>
      <c r="I69" s="128">
        <f>VLOOKUP($A69,[0]!Data,67,FALSE)</f>
        <v>0.1053</v>
      </c>
    </row>
    <row r="70" spans="1:9" x14ac:dyDescent="0.2">
      <c r="A70" s="55" t="s">
        <v>723</v>
      </c>
      <c r="B70" s="55" t="s">
        <v>1984</v>
      </c>
      <c r="C70" s="82">
        <f>VLOOKUP($A70,[0]!Data,62,FALSE)</f>
        <v>4</v>
      </c>
      <c r="D70" s="43">
        <f>VLOOKUP($A70,[0]!Data,63,FALSE)</f>
        <v>8.6300000000000008</v>
      </c>
      <c r="E70" s="43">
        <f>VLOOKUP($A70,[0]!Data,64,FALSE)</f>
        <v>12.63</v>
      </c>
      <c r="F70" s="43">
        <f>VLOOKUP($A70,[0]!Data,65,FALSE)</f>
        <v>33.15</v>
      </c>
      <c r="G70" s="43">
        <f>VLOOKUP($A70,[0]!Data,66,FALSE)</f>
        <v>45.78</v>
      </c>
      <c r="H70" s="130">
        <f>'Table 2'!G70/('Table 1'!D70/25000)</f>
        <v>7.5116662181763285</v>
      </c>
      <c r="I70" s="128">
        <f>VLOOKUP($A70,[0]!Data,67,FALSE)</f>
        <v>8.7400000000000005E-2</v>
      </c>
    </row>
    <row r="71" spans="1:9" x14ac:dyDescent="0.2">
      <c r="A71" s="55" t="s">
        <v>760</v>
      </c>
      <c r="B71" s="55" t="s">
        <v>1985</v>
      </c>
      <c r="C71" s="82">
        <f>VLOOKUP($A71,[0]!Data,62,FALSE)</f>
        <v>2</v>
      </c>
      <c r="D71" s="43">
        <f>VLOOKUP($A71,[0]!Data,63,FALSE)</f>
        <v>1</v>
      </c>
      <c r="E71" s="43">
        <f>VLOOKUP($A71,[0]!Data,64,FALSE)</f>
        <v>3</v>
      </c>
      <c r="F71" s="43">
        <f>VLOOKUP($A71,[0]!Data,65,FALSE)</f>
        <v>15.1</v>
      </c>
      <c r="G71" s="43">
        <f>VLOOKUP($A71,[0]!Data,66,FALSE)</f>
        <v>18.100000000000001</v>
      </c>
      <c r="H71" s="130">
        <f>'Table 2'!G71/('Table 1'!D71/25000)</f>
        <v>6.726024139366193</v>
      </c>
      <c r="I71" s="128">
        <f>VLOOKUP($A71,[0]!Data,67,FALSE)</f>
        <v>0.1105</v>
      </c>
    </row>
    <row r="72" spans="1:9" x14ac:dyDescent="0.2">
      <c r="A72" s="55" t="s">
        <v>975</v>
      </c>
      <c r="B72" s="55" t="s">
        <v>1986</v>
      </c>
      <c r="C72" s="82">
        <f>VLOOKUP($A72,[0]!Data,62,FALSE)</f>
        <v>4.68</v>
      </c>
      <c r="D72" s="43">
        <f>VLOOKUP($A72,[0]!Data,63,FALSE)</f>
        <v>5</v>
      </c>
      <c r="E72" s="43">
        <f>VLOOKUP($A72,[0]!Data,64,FALSE)</f>
        <v>9.68</v>
      </c>
      <c r="F72" s="43">
        <f>VLOOKUP($A72,[0]!Data,65,FALSE)</f>
        <v>61.05</v>
      </c>
      <c r="G72" s="43">
        <f>VLOOKUP($A72,[0]!Data,66,FALSE)</f>
        <v>70.73</v>
      </c>
      <c r="H72" s="130">
        <f>'Table 2'!G72/('Table 1'!D72/25000)</f>
        <v>9.4582089711907749</v>
      </c>
      <c r="I72" s="128">
        <f>VLOOKUP($A72,[0]!Data,67,FALSE)</f>
        <v>6.6199999999999995E-2</v>
      </c>
    </row>
    <row r="73" spans="1:9" x14ac:dyDescent="0.2">
      <c r="A73" s="55" t="s">
        <v>1071</v>
      </c>
      <c r="B73" s="55" t="s">
        <v>1987</v>
      </c>
      <c r="C73" s="82">
        <f>VLOOKUP($A73,[0]!Data,62,FALSE)</f>
        <v>4.6900000000000004</v>
      </c>
      <c r="D73" s="43">
        <f>VLOOKUP($A73,[0]!Data,63,FALSE)</f>
        <v>0</v>
      </c>
      <c r="E73" s="43">
        <f>VLOOKUP($A73,[0]!Data,64,FALSE)</f>
        <v>4.6900000000000004</v>
      </c>
      <c r="F73" s="43">
        <f>VLOOKUP($A73,[0]!Data,65,FALSE)</f>
        <v>42.07</v>
      </c>
      <c r="G73" s="43">
        <f>VLOOKUP($A73,[0]!Data,66,FALSE)</f>
        <v>46.76</v>
      </c>
      <c r="H73" s="130">
        <f>'Table 2'!G73/('Table 1'!D73/25000)</f>
        <v>10.3397341211226</v>
      </c>
      <c r="I73" s="128">
        <f>VLOOKUP($A73,[0]!Data,67,FALSE)</f>
        <v>0.1003</v>
      </c>
    </row>
    <row r="74" spans="1:9" x14ac:dyDescent="0.2">
      <c r="A74" s="55" t="s">
        <v>1111</v>
      </c>
      <c r="B74" s="55" t="s">
        <v>1988</v>
      </c>
      <c r="C74" s="82">
        <f>VLOOKUP($A74,[0]!Data,62,FALSE)</f>
        <v>8</v>
      </c>
      <c r="D74" s="43">
        <f>VLOOKUP($A74,[0]!Data,63,FALSE)</f>
        <v>0</v>
      </c>
      <c r="E74" s="43">
        <f>VLOOKUP($A74,[0]!Data,64,FALSE)</f>
        <v>8</v>
      </c>
      <c r="F74" s="43">
        <f>VLOOKUP($A74,[0]!Data,65,FALSE)</f>
        <v>53.5</v>
      </c>
      <c r="G74" s="43">
        <f>VLOOKUP($A74,[0]!Data,66,FALSE)</f>
        <v>61.5</v>
      </c>
      <c r="H74" s="130">
        <f>'Table 2'!G74/('Table 1'!D74/25000)</f>
        <v>16.836215109339584</v>
      </c>
      <c r="I74" s="128">
        <f>VLOOKUP($A74,[0]!Data,67,FALSE)</f>
        <v>0.13009999999999999</v>
      </c>
    </row>
    <row r="75" spans="1:9" x14ac:dyDescent="0.2">
      <c r="A75" s="55" t="s">
        <v>1425</v>
      </c>
      <c r="B75" s="55" t="s">
        <v>1989</v>
      </c>
      <c r="C75" s="82">
        <f>VLOOKUP($A75,[0]!Data,62,FALSE)</f>
        <v>2.88</v>
      </c>
      <c r="D75" s="43">
        <f>VLOOKUP($A75,[0]!Data,63,FALSE)</f>
        <v>0</v>
      </c>
      <c r="E75" s="43">
        <f>VLOOKUP($A75,[0]!Data,64,FALSE)</f>
        <v>2.88</v>
      </c>
      <c r="F75" s="43">
        <f>VLOOKUP($A75,[0]!Data,65,FALSE)</f>
        <v>11.44</v>
      </c>
      <c r="G75" s="43">
        <f>VLOOKUP($A75,[0]!Data,66,FALSE)</f>
        <v>14.32</v>
      </c>
      <c r="H75" s="130">
        <f>'Table 2'!G75/('Table 1'!D75/25000)</f>
        <v>7.3441923439871992</v>
      </c>
      <c r="I75" s="128">
        <f>VLOOKUP($A75,[0]!Data,67,FALSE)</f>
        <v>0.2011</v>
      </c>
    </row>
    <row r="76" spans="1:9" x14ac:dyDescent="0.2">
      <c r="A76" s="55" t="s">
        <v>1442</v>
      </c>
      <c r="B76" s="55" t="s">
        <v>1990</v>
      </c>
      <c r="C76" s="82">
        <f>VLOOKUP($A76,[0]!Data,62,FALSE)</f>
        <v>6</v>
      </c>
      <c r="D76" s="43">
        <f>VLOOKUP($A76,[0]!Data,63,FALSE)</f>
        <v>0</v>
      </c>
      <c r="E76" s="43">
        <f>VLOOKUP($A76,[0]!Data,64,FALSE)</f>
        <v>6</v>
      </c>
      <c r="F76" s="43">
        <f>VLOOKUP($A76,[0]!Data,65,FALSE)</f>
        <v>24.08</v>
      </c>
      <c r="G76" s="43">
        <f>VLOOKUP($A76,[0]!Data,66,FALSE)</f>
        <v>30.08</v>
      </c>
      <c r="H76" s="130">
        <f>'Table 2'!G76/('Table 1'!D76/25000)</f>
        <v>8.4152100445379467</v>
      </c>
      <c r="I76" s="128">
        <f>VLOOKUP($A76,[0]!Data,67,FALSE)</f>
        <v>0.19950000000000001</v>
      </c>
    </row>
    <row r="77" spans="1:9" x14ac:dyDescent="0.2">
      <c r="A77" s="55" t="s">
        <v>1472</v>
      </c>
      <c r="B77" s="55" t="s">
        <v>1991</v>
      </c>
      <c r="C77" s="82">
        <f>VLOOKUP($A77,[0]!Data,62,FALSE)</f>
        <v>3</v>
      </c>
      <c r="D77" s="43">
        <f>VLOOKUP($A77,[0]!Data,63,FALSE)</f>
        <v>0</v>
      </c>
      <c r="E77" s="43">
        <f>VLOOKUP($A77,[0]!Data,64,FALSE)</f>
        <v>3</v>
      </c>
      <c r="F77" s="43">
        <f>VLOOKUP($A77,[0]!Data,65,FALSE)</f>
        <v>46.19</v>
      </c>
      <c r="G77" s="43">
        <f>VLOOKUP($A77,[0]!Data,66,FALSE)</f>
        <v>49.19</v>
      </c>
      <c r="H77" s="130">
        <f>'Table 2'!G77/('Table 1'!D77/25000)</f>
        <v>7.2973101275211985</v>
      </c>
      <c r="I77" s="128">
        <f>VLOOKUP($A77,[0]!Data,67,FALSE)</f>
        <v>6.0999999999999999E-2</v>
      </c>
    </row>
    <row r="78" spans="1:9" x14ac:dyDescent="0.2">
      <c r="A78" s="55" t="s">
        <v>1558</v>
      </c>
      <c r="B78" s="55" t="s">
        <v>1992</v>
      </c>
      <c r="C78" s="82">
        <f>VLOOKUP($A78,[0]!Data,62,FALSE)</f>
        <v>3.5</v>
      </c>
      <c r="D78" s="43">
        <f>VLOOKUP($A78,[0]!Data,63,FALSE)</f>
        <v>0.88</v>
      </c>
      <c r="E78" s="43">
        <f>VLOOKUP($A78,[0]!Data,64,FALSE)</f>
        <v>4.38</v>
      </c>
      <c r="F78" s="43">
        <f>VLOOKUP($A78,[0]!Data,65,FALSE)</f>
        <v>3.94</v>
      </c>
      <c r="G78" s="43">
        <f>VLOOKUP($A78,[0]!Data,66,FALSE)</f>
        <v>8.32</v>
      </c>
      <c r="H78" s="130">
        <f>'Table 2'!G78/('Table 1'!D78/25000)</f>
        <v>4.6707985269020034</v>
      </c>
      <c r="I78" s="128">
        <f>VLOOKUP($A78,[0]!Data,67,FALSE)</f>
        <v>0.42070000000000002</v>
      </c>
    </row>
    <row r="79" spans="1:9" x14ac:dyDescent="0.2">
      <c r="A79" s="55" t="s">
        <v>1696</v>
      </c>
      <c r="B79" s="55" t="s">
        <v>1993</v>
      </c>
      <c r="C79" s="82">
        <f>VLOOKUP($A79,[0]!Data,62,FALSE)</f>
        <v>5</v>
      </c>
      <c r="D79" s="43">
        <f>VLOOKUP($A79,[0]!Data,63,FALSE)</f>
        <v>1</v>
      </c>
      <c r="E79" s="43">
        <f>VLOOKUP($A79,[0]!Data,64,FALSE)</f>
        <v>6</v>
      </c>
      <c r="F79" s="43">
        <f>VLOOKUP($A79,[0]!Data,65,FALSE)</f>
        <v>40.03</v>
      </c>
      <c r="G79" s="43">
        <f>VLOOKUP($A79,[0]!Data,66,FALSE)</f>
        <v>46.03</v>
      </c>
      <c r="H79" s="130">
        <f>'Table 2'!G79/('Table 1'!D79/25000)</f>
        <v>4.9416407578542358</v>
      </c>
      <c r="I79" s="128">
        <f>VLOOKUP($A79,[0]!Data,67,FALSE)</f>
        <v>0.1086</v>
      </c>
    </row>
    <row r="80" spans="1:9" ht="13.5" thickBot="1" x14ac:dyDescent="0.25">
      <c r="A80" s="658" t="s">
        <v>1882</v>
      </c>
      <c r="B80" s="660"/>
      <c r="C80" s="116">
        <f>AVERAGE(C68:C79)</f>
        <v>3.8958333333333335</v>
      </c>
      <c r="D80" s="111">
        <f t="shared" ref="D80:I80" si="1">AVERAGE(D68:D79)</f>
        <v>1.4591666666666667</v>
      </c>
      <c r="E80" s="111">
        <f t="shared" si="1"/>
        <v>5.3550000000000004</v>
      </c>
      <c r="F80" s="111">
        <f t="shared" si="1"/>
        <v>30.379166666666663</v>
      </c>
      <c r="G80" s="111">
        <f t="shared" si="1"/>
        <v>35.73416666666666</v>
      </c>
      <c r="H80" s="111">
        <f t="shared" si="1"/>
        <v>8.2472655818660154</v>
      </c>
      <c r="I80" s="117">
        <f t="shared" si="1"/>
        <v>0.13694166666666666</v>
      </c>
    </row>
    <row r="81" spans="1:9" ht="14.25" thickTop="1" thickBot="1" x14ac:dyDescent="0.25">
      <c r="A81" s="58"/>
      <c r="B81" s="35" t="s">
        <v>1867</v>
      </c>
      <c r="C81" s="112"/>
      <c r="D81" s="112"/>
      <c r="E81" s="112"/>
      <c r="F81" s="113"/>
      <c r="G81" s="113"/>
      <c r="H81" s="113"/>
      <c r="I81" s="114"/>
    </row>
    <row r="82" spans="1:9" ht="13.5" thickTop="1" x14ac:dyDescent="0.2">
      <c r="A82" s="55" t="s">
        <v>897</v>
      </c>
      <c r="B82" s="55" t="s">
        <v>1994</v>
      </c>
      <c r="C82" s="82">
        <f>VLOOKUP($A82,[0]!Data,62,FALSE)</f>
        <v>10</v>
      </c>
      <c r="D82" s="43">
        <f>VLOOKUP($A82,[0]!Data,63,FALSE)</f>
        <v>0</v>
      </c>
      <c r="E82" s="43">
        <f>VLOOKUP($A82,[0]!Data,64,FALSE)</f>
        <v>10</v>
      </c>
      <c r="F82" s="43">
        <f>VLOOKUP($A82,[0]!Data,65,FALSE)</f>
        <v>24.03</v>
      </c>
      <c r="G82" s="43">
        <f>VLOOKUP($A82,[0]!Data,66,FALSE)</f>
        <v>34.03</v>
      </c>
      <c r="H82" s="130">
        <f>'Table 2'!G82/('Table 1'!D82/25000)</f>
        <v>14.214228430127648</v>
      </c>
      <c r="I82" s="128">
        <f>VLOOKUP($A82,[0]!Data,67,FALSE)</f>
        <v>0.29389999999999999</v>
      </c>
    </row>
    <row r="83" spans="1:9" x14ac:dyDescent="0.2">
      <c r="A83" s="55" t="s">
        <v>1312</v>
      </c>
      <c r="B83" s="55" t="s">
        <v>1868</v>
      </c>
      <c r="C83" s="82">
        <f>VLOOKUP($A83,[0]!Data,62,FALSE)</f>
        <v>2</v>
      </c>
      <c r="D83" s="43">
        <f>VLOOKUP($A83,[0]!Data,63,FALSE)</f>
        <v>0</v>
      </c>
      <c r="E83" s="43">
        <f>VLOOKUP($A83,[0]!Data,64,FALSE)</f>
        <v>2</v>
      </c>
      <c r="F83" s="43">
        <f>VLOOKUP($A83,[0]!Data,65,FALSE)</f>
        <v>7.3</v>
      </c>
      <c r="G83" s="43">
        <f>VLOOKUP($A83,[0]!Data,66,FALSE)</f>
        <v>9.3000000000000007</v>
      </c>
      <c r="H83" s="130">
        <f>'Table 2'!G83/('Table 1'!D83/25000)</f>
        <v>11.967879754980183</v>
      </c>
      <c r="I83" s="128">
        <f>VLOOKUP($A83,[0]!Data,67,FALSE)</f>
        <v>0.21510000000000001</v>
      </c>
    </row>
    <row r="84" spans="1:9" x14ac:dyDescent="0.2">
      <c r="A84" s="55" t="s">
        <v>1100</v>
      </c>
      <c r="B84" s="55" t="s">
        <v>1995</v>
      </c>
      <c r="C84" s="82">
        <f>VLOOKUP($A84,[0]!Data,62,FALSE)</f>
        <v>1</v>
      </c>
      <c r="D84" s="43">
        <f>VLOOKUP($A84,[0]!Data,63,FALSE)</f>
        <v>1</v>
      </c>
      <c r="E84" s="43">
        <f>VLOOKUP($A84,[0]!Data,64,FALSE)</f>
        <v>2</v>
      </c>
      <c r="F84" s="43">
        <f>VLOOKUP($A84,[0]!Data,65,FALSE)</f>
        <v>2</v>
      </c>
      <c r="G84" s="43">
        <f>VLOOKUP($A84,[0]!Data,66,FALSE)</f>
        <v>4</v>
      </c>
      <c r="H84" s="130">
        <f>'Table 2'!G84/('Table 1'!D84/25000)</f>
        <v>21.413276231263385</v>
      </c>
      <c r="I84" s="128">
        <f>VLOOKUP($A84,[0]!Data,67,FALSE)</f>
        <v>0.25</v>
      </c>
    </row>
    <row r="85" spans="1:9" x14ac:dyDescent="0.2">
      <c r="A85" s="55" t="s">
        <v>1281</v>
      </c>
      <c r="B85" s="55" t="s">
        <v>1996</v>
      </c>
      <c r="C85" s="82">
        <f>VLOOKUP($A85,[0]!Data,62,FALSE)</f>
        <v>6.56</v>
      </c>
      <c r="D85" s="43">
        <f>VLOOKUP($A85,[0]!Data,63,FALSE)</f>
        <v>0.94</v>
      </c>
      <c r="E85" s="43">
        <f>VLOOKUP($A85,[0]!Data,64,FALSE)</f>
        <v>7.5</v>
      </c>
      <c r="F85" s="43">
        <f>VLOOKUP($A85,[0]!Data,65,FALSE)</f>
        <v>17.440000000000001</v>
      </c>
      <c r="G85" s="43">
        <f>VLOOKUP($A85,[0]!Data,66,FALSE)</f>
        <v>24.94</v>
      </c>
      <c r="H85" s="130">
        <f>'Table 2'!G85/('Table 1'!D85/25000)</f>
        <v>15.412948359824982</v>
      </c>
      <c r="I85" s="128">
        <f>VLOOKUP($A85,[0]!Data,67,FALSE)</f>
        <v>0.26300000000000001</v>
      </c>
    </row>
    <row r="86" spans="1:9" x14ac:dyDescent="0.2">
      <c r="A86" s="55" t="s">
        <v>1297</v>
      </c>
      <c r="B86" s="55" t="s">
        <v>1997</v>
      </c>
      <c r="C86" s="82">
        <f>VLOOKUP($A86,[0]!Data,62,FALSE)</f>
        <v>16.75</v>
      </c>
      <c r="D86" s="43">
        <f>VLOOKUP($A86,[0]!Data,63,FALSE)</f>
        <v>0</v>
      </c>
      <c r="E86" s="43">
        <f>VLOOKUP($A86,[0]!Data,64,FALSE)</f>
        <v>16.75</v>
      </c>
      <c r="F86" s="43">
        <f>VLOOKUP($A86,[0]!Data,65,FALSE)</f>
        <v>43</v>
      </c>
      <c r="G86" s="43">
        <f>VLOOKUP($A86,[0]!Data,66,FALSE)</f>
        <v>59.75</v>
      </c>
      <c r="H86" s="130">
        <f>'Table 2'!G86/('Table 1'!D86/25000)</f>
        <v>13.549490221690068</v>
      </c>
      <c r="I86" s="128">
        <f>VLOOKUP($A86,[0]!Data,67,FALSE)</f>
        <v>0.28029999999999999</v>
      </c>
    </row>
    <row r="87" spans="1:9" x14ac:dyDescent="0.2">
      <c r="A87" s="55" t="s">
        <v>1341</v>
      </c>
      <c r="B87" s="55" t="s">
        <v>1998</v>
      </c>
      <c r="C87" s="82">
        <f>VLOOKUP($A87,[0]!Data,62,FALSE)</f>
        <v>2</v>
      </c>
      <c r="D87" s="43">
        <f>VLOOKUP($A87,[0]!Data,63,FALSE)</f>
        <v>1</v>
      </c>
      <c r="E87" s="43">
        <f>VLOOKUP($A87,[0]!Data,64,FALSE)</f>
        <v>3</v>
      </c>
      <c r="F87" s="43">
        <f>VLOOKUP($A87,[0]!Data,65,FALSE)</f>
        <v>5</v>
      </c>
      <c r="G87" s="43">
        <f>VLOOKUP($A87,[0]!Data,66,FALSE)</f>
        <v>8</v>
      </c>
      <c r="H87" s="130">
        <f>'Table 2'!G87/('Table 1'!D87/25000)</f>
        <v>18.658456945610599</v>
      </c>
      <c r="I87" s="128">
        <f>VLOOKUP($A87,[0]!Data,67,FALSE)</f>
        <v>0.25</v>
      </c>
    </row>
    <row r="88" spans="1:9" x14ac:dyDescent="0.2">
      <c r="A88" s="55" t="s">
        <v>1409</v>
      </c>
      <c r="B88" s="55" t="s">
        <v>1999</v>
      </c>
      <c r="C88" s="82">
        <f>VLOOKUP($A88,[0]!Data,62,FALSE)</f>
        <v>6</v>
      </c>
      <c r="D88" s="43">
        <f>VLOOKUP($A88,[0]!Data,63,FALSE)</f>
        <v>1</v>
      </c>
      <c r="E88" s="43">
        <f>VLOOKUP($A88,[0]!Data,64,FALSE)</f>
        <v>7</v>
      </c>
      <c r="F88" s="43">
        <f>VLOOKUP($A88,[0]!Data,65,FALSE)</f>
        <v>20</v>
      </c>
      <c r="G88" s="43">
        <f>VLOOKUP($A88,[0]!Data,66,FALSE)</f>
        <v>27</v>
      </c>
      <c r="H88" s="130">
        <f>'Table 2'!G88/('Table 1'!D88/25000)</f>
        <v>17.277567318521552</v>
      </c>
      <c r="I88" s="128">
        <f>VLOOKUP($A88,[0]!Data,67,FALSE)</f>
        <v>0.22220000000000001</v>
      </c>
    </row>
    <row r="89" spans="1:9" x14ac:dyDescent="0.2">
      <c r="A89" s="55" t="s">
        <v>1245</v>
      </c>
      <c r="B89" s="55" t="s">
        <v>2000</v>
      </c>
      <c r="C89" s="82">
        <f>VLOOKUP($A89,[0]!Data,62,FALSE)</f>
        <v>1</v>
      </c>
      <c r="D89" s="43">
        <f>VLOOKUP($A89,[0]!Data,63,FALSE)</f>
        <v>0</v>
      </c>
      <c r="E89" s="43">
        <f>VLOOKUP($A89,[0]!Data,64,FALSE)</f>
        <v>1</v>
      </c>
      <c r="F89" s="43">
        <f>VLOOKUP($A89,[0]!Data,65,FALSE)</f>
        <v>3.25</v>
      </c>
      <c r="G89" s="43">
        <f>VLOOKUP($A89,[0]!Data,66,FALSE)</f>
        <v>4.25</v>
      </c>
      <c r="H89" s="130">
        <f>'Table 2'!G89/('Table 1'!D89/25000)</f>
        <v>20.311603899827947</v>
      </c>
      <c r="I89" s="128">
        <f>VLOOKUP($A89,[0]!Data,67,FALSE)</f>
        <v>0.23530000000000001</v>
      </c>
    </row>
    <row r="90" spans="1:9" x14ac:dyDescent="0.2">
      <c r="A90" s="55" t="s">
        <v>1613</v>
      </c>
      <c r="B90" s="55" t="s">
        <v>2001</v>
      </c>
      <c r="C90" s="82">
        <f>VLOOKUP($A90,[0]!Data,62,FALSE)</f>
        <v>1</v>
      </c>
      <c r="D90" s="43">
        <f>VLOOKUP($A90,[0]!Data,63,FALSE)</f>
        <v>0</v>
      </c>
      <c r="E90" s="43">
        <f>VLOOKUP($A90,[0]!Data,64,FALSE)</f>
        <v>1</v>
      </c>
      <c r="F90" s="43">
        <f>VLOOKUP($A90,[0]!Data,65,FALSE)</f>
        <v>4.05</v>
      </c>
      <c r="G90" s="43">
        <f>VLOOKUP($A90,[0]!Data,66,FALSE)</f>
        <v>5.05</v>
      </c>
      <c r="H90" s="130">
        <f>'Table 2'!G90/('Table 1'!D90/25000)</f>
        <v>8.3603734851996556</v>
      </c>
      <c r="I90" s="128">
        <f>VLOOKUP($A90,[0]!Data,67,FALSE)</f>
        <v>0.19800000000000001</v>
      </c>
    </row>
    <row r="91" spans="1:9" x14ac:dyDescent="0.2">
      <c r="A91" s="55" t="s">
        <v>1742</v>
      </c>
      <c r="B91" s="55" t="s">
        <v>2002</v>
      </c>
      <c r="C91" s="82">
        <f>VLOOKUP($A91,[0]!Data,62,FALSE)</f>
        <v>4</v>
      </c>
      <c r="D91" s="43">
        <f>VLOOKUP($A91,[0]!Data,63,FALSE)</f>
        <v>0</v>
      </c>
      <c r="E91" s="43">
        <f>VLOOKUP($A91,[0]!Data,64,FALSE)</f>
        <v>4</v>
      </c>
      <c r="F91" s="43">
        <f>VLOOKUP($A91,[0]!Data,65,FALSE)</f>
        <v>6.45</v>
      </c>
      <c r="G91" s="43">
        <f>VLOOKUP($A91,[0]!Data,66,FALSE)</f>
        <v>10.45</v>
      </c>
      <c r="H91" s="130">
        <f>'Table 2'!G91/('Table 1'!D91/25000)</f>
        <v>18.99171270718232</v>
      </c>
      <c r="I91" s="128">
        <f>VLOOKUP($A91,[0]!Data,67,FALSE)</f>
        <v>0.38279999999999997</v>
      </c>
    </row>
    <row r="92" spans="1:9" x14ac:dyDescent="0.2">
      <c r="A92" s="55" t="s">
        <v>1178</v>
      </c>
      <c r="B92" s="55" t="s">
        <v>2003</v>
      </c>
      <c r="C92" s="82">
        <f>VLOOKUP($A92,[0]!Data,62,FALSE)</f>
        <v>1</v>
      </c>
      <c r="D92" s="43">
        <f>VLOOKUP($A92,[0]!Data,63,FALSE)</f>
        <v>0</v>
      </c>
      <c r="E92" s="43">
        <f>VLOOKUP($A92,[0]!Data,64,FALSE)</f>
        <v>1</v>
      </c>
      <c r="F92" s="43">
        <f>VLOOKUP($A92,[0]!Data,65,FALSE)</f>
        <v>6</v>
      </c>
      <c r="G92" s="43">
        <f>VLOOKUP($A92,[0]!Data,66,FALSE)</f>
        <v>7</v>
      </c>
      <c r="H92" s="130">
        <f>'Table 2'!G92/('Table 1'!D92/25000)</f>
        <v>18.303524735906286</v>
      </c>
      <c r="I92" s="128">
        <f>VLOOKUP($A92,[0]!Data,67,FALSE)</f>
        <v>0.1429</v>
      </c>
    </row>
    <row r="93" spans="1:9" ht="13.5" thickBot="1" x14ac:dyDescent="0.25">
      <c r="A93" s="661" t="s">
        <v>1882</v>
      </c>
      <c r="B93" s="662"/>
      <c r="C93" s="116">
        <f>AVERAGE(C82:C92)</f>
        <v>4.664545454545455</v>
      </c>
      <c r="D93" s="111">
        <f t="shared" ref="D93:I93" si="2">AVERAGE(D82:D92)</f>
        <v>0.35818181818181816</v>
      </c>
      <c r="E93" s="111">
        <f t="shared" si="2"/>
        <v>5.0227272727272725</v>
      </c>
      <c r="F93" s="111">
        <f t="shared" si="2"/>
        <v>12.592727272727272</v>
      </c>
      <c r="G93" s="111">
        <f t="shared" si="2"/>
        <v>17.615454545454543</v>
      </c>
      <c r="H93" s="111">
        <f t="shared" si="2"/>
        <v>16.223732917284966</v>
      </c>
      <c r="I93" s="118">
        <f t="shared" si="2"/>
        <v>0.24849999999999997</v>
      </c>
    </row>
    <row r="94" spans="1:9" ht="14.25" thickTop="1" thickBot="1" x14ac:dyDescent="0.25">
      <c r="A94" s="94"/>
      <c r="B94" s="119"/>
      <c r="C94" s="109"/>
      <c r="D94" s="109"/>
      <c r="E94" s="109"/>
      <c r="F94" s="115"/>
      <c r="G94" s="115"/>
      <c r="H94" s="115"/>
      <c r="I94" s="120"/>
    </row>
    <row r="95" spans="1:9" ht="13.5" thickTop="1" x14ac:dyDescent="0.2">
      <c r="A95" s="654" t="s">
        <v>1883</v>
      </c>
      <c r="B95" s="655"/>
      <c r="C95" s="121">
        <f>AVERAGE(C82:C91,C92,C68:C79,C8:C65)</f>
        <v>9.4751851851851843</v>
      </c>
      <c r="D95" s="121">
        <f t="shared" ref="D95:I95" si="3">AVERAGE(D82:D91,D92,D68:D79,D8:D65)</f>
        <v>0.98271604938271595</v>
      </c>
      <c r="E95" s="121">
        <f t="shared" si="3"/>
        <v>10.457901234567899</v>
      </c>
      <c r="F95" s="121">
        <f t="shared" si="3"/>
        <v>35.779876543209895</v>
      </c>
      <c r="G95" s="121">
        <f t="shared" si="3"/>
        <v>37.765802469135821</v>
      </c>
      <c r="H95" s="121">
        <f t="shared" si="3"/>
        <v>8.4337952191192898</v>
      </c>
      <c r="I95" s="121">
        <f t="shared" si="3"/>
        <v>0.20592469135802474</v>
      </c>
    </row>
    <row r="96" spans="1:9" x14ac:dyDescent="0.2">
      <c r="A96" s="122"/>
      <c r="B96" s="122"/>
      <c r="C96" s="123"/>
      <c r="D96" s="123"/>
      <c r="E96" s="123"/>
      <c r="F96" s="123"/>
      <c r="G96" s="123"/>
      <c r="H96" s="123"/>
      <c r="I96" s="124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5"/>
  <sheetViews>
    <sheetView topLeftCell="A55" workbookViewId="0">
      <selection activeCell="O18" sqref="O18"/>
    </sheetView>
  </sheetViews>
  <sheetFormatPr defaultColWidth="8.85546875" defaultRowHeight="15" x14ac:dyDescent="0.25"/>
  <cols>
    <col min="2" max="2" width="21.42578125" customWidth="1"/>
    <col min="3" max="3" width="12.7109375" customWidth="1"/>
    <col min="4" max="4" width="14" customWidth="1"/>
    <col min="5" max="5" width="12.85546875" style="186" customWidth="1"/>
    <col min="6" max="6" width="18.140625" customWidth="1"/>
    <col min="7" max="7" width="11.140625" style="187" customWidth="1"/>
    <col min="8" max="8" width="11.85546875" style="187" customWidth="1"/>
    <col min="9" max="9" width="14" style="188" customWidth="1"/>
    <col min="10" max="11" width="13.5703125" style="188" customWidth="1"/>
    <col min="12" max="12" width="15.140625" style="188" customWidth="1"/>
    <col min="13" max="13" width="15.7109375" style="137" customWidth="1"/>
    <col min="14" max="15" width="13.7109375" customWidth="1"/>
    <col min="16" max="16" width="14.5703125" customWidth="1"/>
    <col min="17" max="17" width="17.85546875" customWidth="1"/>
  </cols>
  <sheetData>
    <row r="1" spans="1:17" ht="15.75" x14ac:dyDescent="0.25">
      <c r="A1" s="131"/>
      <c r="B1" s="132"/>
      <c r="C1" s="132"/>
      <c r="D1" s="132"/>
      <c r="E1" s="133"/>
      <c r="F1" s="134"/>
      <c r="G1" s="135"/>
      <c r="H1" s="135"/>
      <c r="I1" s="136"/>
      <c r="J1" s="192"/>
      <c r="K1" s="192"/>
      <c r="L1" s="192"/>
      <c r="Q1" s="15" t="s">
        <v>2272</v>
      </c>
    </row>
    <row r="2" spans="1:17" ht="15.75" x14ac:dyDescent="0.25">
      <c r="A2" s="17" t="s">
        <v>1884</v>
      </c>
      <c r="B2" s="18"/>
      <c r="C2" s="18"/>
      <c r="D2" s="18"/>
      <c r="E2" s="138"/>
      <c r="F2" s="139"/>
      <c r="G2" s="140"/>
      <c r="H2" s="140"/>
      <c r="I2" s="141"/>
      <c r="J2" s="141"/>
      <c r="K2" s="141"/>
      <c r="L2" s="141"/>
      <c r="Q2" s="22" t="s">
        <v>2004</v>
      </c>
    </row>
    <row r="3" spans="1:17" ht="16.5" thickBot="1" x14ac:dyDescent="0.3">
      <c r="A3" s="142"/>
      <c r="B3" s="18"/>
      <c r="C3" s="18"/>
      <c r="D3" s="18"/>
      <c r="E3" s="138"/>
      <c r="F3" s="139"/>
      <c r="G3" s="140"/>
      <c r="H3" s="195"/>
      <c r="I3" s="141"/>
      <c r="J3" s="141"/>
      <c r="K3" s="141"/>
      <c r="L3" s="141"/>
      <c r="M3" s="141"/>
    </row>
    <row r="4" spans="1:17" s="144" customFormat="1" ht="15.75" thickTop="1" x14ac:dyDescent="0.25">
      <c r="A4" s="96"/>
      <c r="B4" s="638"/>
      <c r="C4" s="143" t="s">
        <v>1885</v>
      </c>
      <c r="D4" s="143" t="s">
        <v>1886</v>
      </c>
      <c r="E4" s="666" t="s">
        <v>36</v>
      </c>
      <c r="F4" s="667"/>
      <c r="G4" s="667"/>
      <c r="H4" s="194"/>
      <c r="I4" s="664" t="s">
        <v>1901</v>
      </c>
      <c r="J4" s="664"/>
      <c r="K4" s="664"/>
      <c r="L4" s="664"/>
      <c r="M4" s="665"/>
      <c r="N4" s="663" t="s">
        <v>1906</v>
      </c>
      <c r="O4" s="664"/>
      <c r="P4" s="664"/>
      <c r="Q4" s="665"/>
    </row>
    <row r="5" spans="1:17" s="144" customFormat="1" x14ac:dyDescent="0.25">
      <c r="A5" s="99"/>
      <c r="B5" s="656"/>
      <c r="C5" s="148" t="s">
        <v>1889</v>
      </c>
      <c r="D5" s="148" t="s">
        <v>1890</v>
      </c>
      <c r="E5" s="145"/>
      <c r="F5" s="146" t="s">
        <v>1887</v>
      </c>
      <c r="G5" s="147" t="s">
        <v>1888</v>
      </c>
      <c r="H5" s="193" t="s">
        <v>1907</v>
      </c>
      <c r="I5" s="148" t="s">
        <v>1899</v>
      </c>
      <c r="J5" s="148" t="s">
        <v>1903</v>
      </c>
      <c r="K5" s="148" t="s">
        <v>1902</v>
      </c>
      <c r="L5" s="148" t="s">
        <v>1904</v>
      </c>
      <c r="M5" s="148" t="s">
        <v>1905</v>
      </c>
      <c r="N5" s="148" t="s">
        <v>1903</v>
      </c>
      <c r="O5" s="148" t="s">
        <v>1902</v>
      </c>
      <c r="P5" s="148" t="s">
        <v>1904</v>
      </c>
      <c r="Q5" s="148" t="s">
        <v>1905</v>
      </c>
    </row>
    <row r="6" spans="1:17" s="144" customFormat="1" ht="15.75" thickBot="1" x14ac:dyDescent="0.3">
      <c r="A6" s="103"/>
      <c r="B6" s="657"/>
      <c r="C6" s="149" t="s">
        <v>1894</v>
      </c>
      <c r="D6" s="149" t="s">
        <v>1895</v>
      </c>
      <c r="E6" s="149" t="s">
        <v>1891</v>
      </c>
      <c r="F6" s="150" t="s">
        <v>1892</v>
      </c>
      <c r="G6" s="28" t="s">
        <v>1893</v>
      </c>
      <c r="H6" s="28" t="s">
        <v>706</v>
      </c>
      <c r="I6" s="151" t="s">
        <v>1900</v>
      </c>
      <c r="J6" s="151" t="s">
        <v>1900</v>
      </c>
      <c r="K6" s="151" t="s">
        <v>1900</v>
      </c>
      <c r="L6" s="151" t="s">
        <v>1900</v>
      </c>
      <c r="M6" s="151" t="s">
        <v>1900</v>
      </c>
      <c r="N6" s="151" t="s">
        <v>1900</v>
      </c>
      <c r="O6" s="151" t="s">
        <v>1900</v>
      </c>
      <c r="P6" s="151" t="s">
        <v>1900</v>
      </c>
      <c r="Q6" s="151" t="s">
        <v>1900</v>
      </c>
    </row>
    <row r="7" spans="1:17" s="16" customFormat="1" ht="16.5" thickTop="1" thickBot="1" x14ac:dyDescent="0.3">
      <c r="A7" s="34"/>
      <c r="B7" s="35" t="s">
        <v>1863</v>
      </c>
      <c r="C7" s="152"/>
      <c r="D7" s="157"/>
      <c r="E7" s="205"/>
      <c r="F7" s="153"/>
      <c r="G7" s="154"/>
      <c r="H7" s="154"/>
      <c r="I7" s="155"/>
      <c r="J7" s="155"/>
      <c r="K7" s="155"/>
      <c r="L7" s="155"/>
      <c r="M7" s="156"/>
      <c r="N7" s="205"/>
      <c r="O7" s="152"/>
      <c r="P7" s="152"/>
      <c r="Q7" s="157"/>
    </row>
    <row r="8" spans="1:17" s="16" customFormat="1" ht="15.75" thickTop="1" x14ac:dyDescent="0.25">
      <c r="A8" s="40" t="s">
        <v>666</v>
      </c>
      <c r="B8" s="40" t="s">
        <v>1927</v>
      </c>
      <c r="C8" s="158">
        <f>'Table 1'!D8/VLOOKUP(A8,[0]!Data,139,FALSE)</f>
        <v>7.6039668713463154E-2</v>
      </c>
      <c r="D8" s="158">
        <f>VLOOKUP(A8,[0]!Data,139,FALSE)/VLOOKUP(A8,[0]!Data,66,FALSE)</f>
        <v>46093.52137505509</v>
      </c>
      <c r="E8" s="200">
        <f>VLOOKUP($A8,[0]!Data,69,FALSE)</f>
        <v>76404</v>
      </c>
      <c r="F8" s="158" t="s">
        <v>2176</v>
      </c>
      <c r="G8" s="158" t="s">
        <v>2177</v>
      </c>
      <c r="H8" s="200">
        <f>VLOOKUP($A8,[0]!Data,72,FALSE)</f>
        <v>0</v>
      </c>
      <c r="I8" s="198">
        <f>VLOOKUP($A8,[0]!Data,75,FALSE)</f>
        <v>55455</v>
      </c>
      <c r="J8" s="198">
        <f>VLOOKUP($A8,[0]!Data,83,FALSE)</f>
        <v>50780</v>
      </c>
      <c r="K8" s="198">
        <f>VLOOKUP($A8,[0]!Data,79,FALSE)</f>
        <v>50780</v>
      </c>
      <c r="L8" s="198">
        <f>VLOOKUP($A8,[0]!Data,87,FALSE)</f>
        <v>60559</v>
      </c>
      <c r="M8" s="199">
        <f>VLOOKUP($A8,[0]!Data,91,FALSE)</f>
        <v>0</v>
      </c>
      <c r="N8" s="158">
        <f>VLOOKUP(A8,[0]!Data,102,FALSE)</f>
        <v>0</v>
      </c>
      <c r="O8" s="158">
        <f>VLOOKUP($A8,[0]!Data,98,FALSE)</f>
        <v>0</v>
      </c>
      <c r="P8" s="158">
        <f>VLOOKUP($A8,[0]!Data,106,FALSE)</f>
        <v>0</v>
      </c>
      <c r="Q8" s="159">
        <f>VLOOKUP($A8,[0]!Data,110,FALSE)</f>
        <v>0</v>
      </c>
    </row>
    <row r="9" spans="1:17" s="16" customFormat="1" x14ac:dyDescent="0.25">
      <c r="A9" s="40" t="s">
        <v>711</v>
      </c>
      <c r="B9" s="40" t="s">
        <v>1928</v>
      </c>
      <c r="C9" s="158">
        <f>'Table 1'!D9/VLOOKUP(A9,[0]!Data,139,FALSE)</f>
        <v>0.11011559779216558</v>
      </c>
      <c r="D9" s="158">
        <f>VLOOKUP(A9,[0]!Data,139,FALSE)/VLOOKUP(A9,[0]!Data,66,FALSE)</f>
        <v>37263.772775991427</v>
      </c>
      <c r="E9" s="200">
        <f>VLOOKUP($A9,[0]!Data,69,FALSE)</f>
        <v>47983</v>
      </c>
      <c r="F9" s="158" t="s">
        <v>2178</v>
      </c>
      <c r="G9" s="158" t="s">
        <v>2179</v>
      </c>
      <c r="H9" s="200">
        <f>VLOOKUP($A9,[0]!Data,72,FALSE)</f>
        <v>0</v>
      </c>
      <c r="I9" s="158">
        <f>VLOOKUP($A9,[0]!Data,75,FALSE)</f>
        <v>28568</v>
      </c>
      <c r="J9" s="158">
        <f>VLOOKUP($A9,[0]!Data,83,FALSE)</f>
        <v>0</v>
      </c>
      <c r="K9" s="158">
        <f>VLOOKUP($A9,[0]!Data,79,FALSE)</f>
        <v>0</v>
      </c>
      <c r="L9" s="158">
        <f>VLOOKUP($A9,[0]!Data,87,FALSE)</f>
        <v>0</v>
      </c>
      <c r="M9" s="159">
        <f>VLOOKUP($A9,[0]!Data,91,FALSE)</f>
        <v>0</v>
      </c>
      <c r="N9" s="158">
        <f>VLOOKUP(A9,[0]!Data,102,FALSE)</f>
        <v>0</v>
      </c>
      <c r="O9" s="158">
        <f>VLOOKUP($A9,[0]!Data,98,FALSE)</f>
        <v>29284</v>
      </c>
      <c r="P9" s="158">
        <f>VLOOKUP($A9,[0]!Data,106,FALSE)</f>
        <v>24633</v>
      </c>
      <c r="Q9" s="159">
        <f>VLOOKUP($A9,[0]!Data,110,FALSE)</f>
        <v>24543</v>
      </c>
    </row>
    <row r="10" spans="1:17" s="16" customFormat="1" x14ac:dyDescent="0.25">
      <c r="A10" s="40" t="s">
        <v>775</v>
      </c>
      <c r="B10" s="40" t="s">
        <v>1929</v>
      </c>
      <c r="C10" s="158">
        <f>'Table 1'!D10/VLOOKUP(A10,[0]!Data,139,FALSE)</f>
        <v>7.9715510342988016E-2</v>
      </c>
      <c r="D10" s="158">
        <f>VLOOKUP(A10,[0]!Data,139,FALSE)/VLOOKUP(A10,[0]!Data,66,FALSE)</f>
        <v>42386.354775828462</v>
      </c>
      <c r="E10" s="200">
        <f>VLOOKUP($A10,[0]!Data,69,FALSE)</f>
        <v>51192</v>
      </c>
      <c r="F10" s="158" t="s">
        <v>2180</v>
      </c>
      <c r="G10" s="158" t="s">
        <v>2181</v>
      </c>
      <c r="H10" s="200">
        <f>VLOOKUP($A10,[0]!Data,72,FALSE)</f>
        <v>43999</v>
      </c>
      <c r="I10" s="158">
        <f>VLOOKUP($A10,[0]!Data,75,FALSE)</f>
        <v>26902</v>
      </c>
      <c r="J10" s="158">
        <f>VLOOKUP($A10,[0]!Data,83,FALSE)</f>
        <v>0</v>
      </c>
      <c r="K10" s="158">
        <f>VLOOKUP($A10,[0]!Data,79,FALSE)</f>
        <v>0</v>
      </c>
      <c r="L10" s="158">
        <f>VLOOKUP($A10,[0]!Data,87,FALSE)</f>
        <v>39015</v>
      </c>
      <c r="M10" s="159">
        <f>VLOOKUP($A10,[0]!Data,91,FALSE)</f>
        <v>0</v>
      </c>
      <c r="N10" s="158">
        <f>VLOOKUP(A10,[0]!Data,102,FALSE)</f>
        <v>0</v>
      </c>
      <c r="O10" s="158">
        <f>VLOOKUP($A10,[0]!Data,98,FALSE)</f>
        <v>29944</v>
      </c>
      <c r="P10" s="158">
        <f>VLOOKUP($A10,[0]!Data,106,FALSE)</f>
        <v>0</v>
      </c>
      <c r="Q10" s="159">
        <f>VLOOKUP($A10,[0]!Data,110,FALSE)</f>
        <v>0</v>
      </c>
    </row>
    <row r="11" spans="1:17" s="16" customFormat="1" x14ac:dyDescent="0.25">
      <c r="A11" s="40" t="s">
        <v>804</v>
      </c>
      <c r="B11" s="40" t="s">
        <v>1930</v>
      </c>
      <c r="C11" s="158">
        <f>'Table 1'!D11/VLOOKUP(A11,[0]!Data,139,FALSE)</f>
        <v>0.12928644005359693</v>
      </c>
      <c r="D11" s="158">
        <f>VLOOKUP(A11,[0]!Data,139,FALSE)/VLOOKUP(A11,[0]!Data,66,FALSE)</f>
        <v>58124.470588235294</v>
      </c>
      <c r="E11" s="200">
        <f>VLOOKUP($A11,[0]!Data,69,FALSE)</f>
        <v>109769</v>
      </c>
      <c r="F11" s="158" t="s">
        <v>2182</v>
      </c>
      <c r="G11" s="158" t="s">
        <v>2183</v>
      </c>
      <c r="H11" s="200">
        <f>VLOOKUP($A11,[0]!Data,72,FALSE)</f>
        <v>0</v>
      </c>
      <c r="I11" s="158">
        <f>VLOOKUP($A11,[0]!Data,75,FALSE)</f>
        <v>58483</v>
      </c>
      <c r="J11" s="158">
        <f>VLOOKUP($A11,[0]!Data,83,FALSE)</f>
        <v>0</v>
      </c>
      <c r="K11" s="158">
        <f>VLOOKUP($A11,[0]!Data,79,FALSE)</f>
        <v>0</v>
      </c>
      <c r="L11" s="158">
        <f>VLOOKUP($A11,[0]!Data,87,FALSE)</f>
        <v>0</v>
      </c>
      <c r="M11" s="159">
        <f>VLOOKUP($A11,[0]!Data,91,FALSE)</f>
        <v>0</v>
      </c>
      <c r="N11" s="158">
        <f>VLOOKUP(A11,[0]!Data,102,FALSE)</f>
        <v>0</v>
      </c>
      <c r="O11" s="158">
        <f>VLOOKUP($A11,[0]!Data,98,FALSE)</f>
        <v>0</v>
      </c>
      <c r="P11" s="158">
        <f>VLOOKUP($A11,[0]!Data,106,FALSE)</f>
        <v>0</v>
      </c>
      <c r="Q11" s="159">
        <f>VLOOKUP($A11,[0]!Data,110,FALSE)</f>
        <v>0</v>
      </c>
    </row>
    <row r="12" spans="1:17" s="16" customFormat="1" x14ac:dyDescent="0.25">
      <c r="A12" s="40" t="s">
        <v>818</v>
      </c>
      <c r="B12" s="40" t="s">
        <v>1931</v>
      </c>
      <c r="C12" s="158">
        <f>'Table 1'!D12/VLOOKUP(A12,[0]!Data,139,FALSE)</f>
        <v>6.7514462103293163E-2</v>
      </c>
      <c r="D12" s="158">
        <f>VLOOKUP(A12,[0]!Data,139,FALSE)/VLOOKUP(A12,[0]!Data,66,FALSE)</f>
        <v>65989.948275862072</v>
      </c>
      <c r="E12" s="200">
        <f>VLOOKUP($A12,[0]!Data,69,FALSE)</f>
        <v>110777</v>
      </c>
      <c r="F12" s="158" t="s">
        <v>2184</v>
      </c>
      <c r="G12" s="158" t="s">
        <v>2181</v>
      </c>
      <c r="H12" s="200">
        <f>VLOOKUP($A12,[0]!Data,72,FALSE)</f>
        <v>0</v>
      </c>
      <c r="I12" s="158">
        <f>VLOOKUP($A12,[0]!Data,75,FALSE)</f>
        <v>43594</v>
      </c>
      <c r="J12" s="158">
        <f>VLOOKUP($A12,[0]!Data,83,FALSE)</f>
        <v>53059</v>
      </c>
      <c r="K12" s="158">
        <f>VLOOKUP($A12,[0]!Data,79,FALSE)</f>
        <v>51206</v>
      </c>
      <c r="L12" s="158">
        <f>VLOOKUP($A12,[0]!Data,87,FALSE)</f>
        <v>48410</v>
      </c>
      <c r="M12" s="159">
        <f>VLOOKUP($A12,[0]!Data,91,FALSE)</f>
        <v>52492</v>
      </c>
      <c r="N12" s="158">
        <f>VLOOKUP(A12,[0]!Data,102,FALSE)</f>
        <v>43514</v>
      </c>
      <c r="O12" s="158">
        <f>VLOOKUP($A12,[0]!Data,98,FALSE)</f>
        <v>43514</v>
      </c>
      <c r="P12" s="158">
        <f>VLOOKUP($A12,[0]!Data,106,FALSE)</f>
        <v>0</v>
      </c>
      <c r="Q12" s="159">
        <f>VLOOKUP($A12,[0]!Data,110,FALSE)</f>
        <v>0</v>
      </c>
    </row>
    <row r="13" spans="1:17" s="16" customFormat="1" x14ac:dyDescent="0.25">
      <c r="A13" s="40" t="s">
        <v>831</v>
      </c>
      <c r="B13" s="40" t="s">
        <v>1932</v>
      </c>
      <c r="C13" s="158">
        <f>'Table 1'!D13/VLOOKUP(A13,[0]!Data,139,FALSE)</f>
        <v>9.1809030832497904E-2</v>
      </c>
      <c r="D13" s="158">
        <f>VLOOKUP(A13,[0]!Data,139,FALSE)/VLOOKUP(A13,[0]!Data,66,FALSE)</f>
        <v>46438.954869358669</v>
      </c>
      <c r="E13" s="200">
        <f>VLOOKUP($A13,[0]!Data,69,FALSE)</f>
        <v>72400</v>
      </c>
      <c r="F13" s="158" t="s">
        <v>2185</v>
      </c>
      <c r="G13" s="158" t="s">
        <v>2186</v>
      </c>
      <c r="H13" s="200">
        <f>VLOOKUP($A13,[0]!Data,72,FALSE)</f>
        <v>45125</v>
      </c>
      <c r="I13" s="158">
        <f>VLOOKUP($A13,[0]!Data,75,FALSE)</f>
        <v>0</v>
      </c>
      <c r="J13" s="158">
        <f>VLOOKUP($A13,[0]!Data,83,FALSE)</f>
        <v>0</v>
      </c>
      <c r="K13" s="158">
        <f>VLOOKUP($A13,[0]!Data,79,FALSE)</f>
        <v>0</v>
      </c>
      <c r="L13" s="158">
        <f>VLOOKUP($A13,[0]!Data,87,FALSE)</f>
        <v>0</v>
      </c>
      <c r="M13" s="159">
        <f>VLOOKUP($A13,[0]!Data,91,FALSE)</f>
        <v>0</v>
      </c>
      <c r="N13" s="158">
        <f>VLOOKUP(A13,[0]!Data,102,FALSE)</f>
        <v>37120</v>
      </c>
      <c r="O13" s="158">
        <f>VLOOKUP($A13,[0]!Data,98,FALSE)</f>
        <v>0</v>
      </c>
      <c r="P13" s="158">
        <f>VLOOKUP($A13,[0]!Data,106,FALSE)</f>
        <v>0</v>
      </c>
      <c r="Q13" s="159">
        <f>VLOOKUP($A13,[0]!Data,110,FALSE)</f>
        <v>0</v>
      </c>
    </row>
    <row r="14" spans="1:17" s="16" customFormat="1" x14ac:dyDescent="0.25">
      <c r="A14" s="40" t="s">
        <v>843</v>
      </c>
      <c r="B14" s="40" t="s">
        <v>1933</v>
      </c>
      <c r="C14" s="158">
        <f>'Table 1'!D14/VLOOKUP(A14,[0]!Data,139,FALSE)</f>
        <v>8.082092467808652E-2</v>
      </c>
      <c r="D14" s="158">
        <f>VLOOKUP(A14,[0]!Data,139,FALSE)/VLOOKUP(A14,[0]!Data,66,FALSE)</f>
        <v>51725.208333333336</v>
      </c>
      <c r="E14" s="200">
        <f>VLOOKUP($A14,[0]!Data,69,FALSE)</f>
        <v>82326</v>
      </c>
      <c r="F14" s="158" t="s">
        <v>2187</v>
      </c>
      <c r="G14" s="158" t="s">
        <v>2188</v>
      </c>
      <c r="H14" s="200">
        <f>VLOOKUP($A14,[0]!Data,72,FALSE)</f>
        <v>0</v>
      </c>
      <c r="I14" s="158">
        <f>VLOOKUP($A14,[0]!Data,75,FALSE)</f>
        <v>54028</v>
      </c>
      <c r="J14" s="158">
        <f>VLOOKUP($A14,[0]!Data,83,FALSE)</f>
        <v>46051</v>
      </c>
      <c r="K14" s="158">
        <f>VLOOKUP($A14,[0]!Data,79,FALSE)</f>
        <v>45042</v>
      </c>
      <c r="L14" s="158">
        <f>VLOOKUP($A14,[0]!Data,87,FALSE)</f>
        <v>49962</v>
      </c>
      <c r="M14" s="159">
        <f>VLOOKUP($A14,[0]!Data,91,FALSE)</f>
        <v>48630</v>
      </c>
      <c r="N14" s="158">
        <f>VLOOKUP(A14,[0]!Data,102,FALSE)</f>
        <v>46051</v>
      </c>
      <c r="O14" s="158">
        <f>VLOOKUP($A14,[0]!Data,98,FALSE)</f>
        <v>45042</v>
      </c>
      <c r="P14" s="158">
        <f>VLOOKUP($A14,[0]!Data,106,FALSE)</f>
        <v>49962</v>
      </c>
      <c r="Q14" s="159">
        <f>VLOOKUP($A14,[0]!Data,110,FALSE)</f>
        <v>48630</v>
      </c>
    </row>
    <row r="15" spans="1:17" s="16" customFormat="1" x14ac:dyDescent="0.25">
      <c r="A15" s="40" t="s">
        <v>855</v>
      </c>
      <c r="B15" s="40" t="s">
        <v>1934</v>
      </c>
      <c r="C15" s="158">
        <f>'Table 1'!D15/VLOOKUP(A15,[0]!Data,139,FALSE)</f>
        <v>9.3227039580831977E-2</v>
      </c>
      <c r="D15" s="158">
        <f>VLOOKUP(A15,[0]!Data,139,FALSE)/VLOOKUP(A15,[0]!Data,66,FALSE)</f>
        <v>38602.34782608696</v>
      </c>
      <c r="E15" s="200">
        <f>VLOOKUP($A15,[0]!Data,69,FALSE)</f>
        <v>60000</v>
      </c>
      <c r="F15" s="158" t="s">
        <v>2189</v>
      </c>
      <c r="G15" s="158" t="s">
        <v>2190</v>
      </c>
      <c r="H15" s="200">
        <f>VLOOKUP($A15,[0]!Data,72,FALSE)</f>
        <v>0</v>
      </c>
      <c r="I15" s="158">
        <f>VLOOKUP($A15,[0]!Data,75,FALSE)</f>
        <v>40000</v>
      </c>
      <c r="J15" s="158">
        <f>VLOOKUP($A15,[0]!Data,83,FALSE)</f>
        <v>40000</v>
      </c>
      <c r="K15" s="158">
        <f>VLOOKUP($A15,[0]!Data,79,FALSE)</f>
        <v>40000</v>
      </c>
      <c r="L15" s="158">
        <f>VLOOKUP($A15,[0]!Data,87,FALSE)</f>
        <v>40000</v>
      </c>
      <c r="M15" s="159">
        <f>VLOOKUP($A15,[0]!Data,91,FALSE)</f>
        <v>0</v>
      </c>
      <c r="N15" s="158">
        <f>VLOOKUP(A15,[0]!Data,102,FALSE)</f>
        <v>40000</v>
      </c>
      <c r="O15" s="158">
        <f>VLOOKUP($A15,[0]!Data,98,FALSE)</f>
        <v>40000</v>
      </c>
      <c r="P15" s="158">
        <f>VLOOKUP($A15,[0]!Data,106,FALSE)</f>
        <v>40000</v>
      </c>
      <c r="Q15" s="159">
        <f>VLOOKUP($A15,[0]!Data,110,FALSE)</f>
        <v>0</v>
      </c>
    </row>
    <row r="16" spans="1:17" s="16" customFormat="1" x14ac:dyDescent="0.25">
      <c r="A16" s="40" t="s">
        <v>868</v>
      </c>
      <c r="B16" s="40" t="s">
        <v>1935</v>
      </c>
      <c r="C16" s="158">
        <f>'Table 1'!D16/VLOOKUP(A16,[0]!Data,139,FALSE)</f>
        <v>0.11199996217655041</v>
      </c>
      <c r="D16" s="158">
        <f>VLOOKUP(A16,[0]!Data,139,FALSE)/VLOOKUP(A16,[0]!Data,66,FALSE)</f>
        <v>35727.87162162162</v>
      </c>
      <c r="E16" s="200">
        <f>VLOOKUP($A16,[0]!Data,69,FALSE)</f>
        <v>57657</v>
      </c>
      <c r="F16" s="158" t="s">
        <v>2191</v>
      </c>
      <c r="G16" s="158" t="s">
        <v>2177</v>
      </c>
      <c r="H16" s="200">
        <f>VLOOKUP($A16,[0]!Data,72,FALSE)</f>
        <v>0</v>
      </c>
      <c r="I16" s="158">
        <f>VLOOKUP($A16,[0]!Data,75,FALSE)</f>
        <v>0</v>
      </c>
      <c r="J16" s="158">
        <f>VLOOKUP($A16,[0]!Data,83,FALSE)</f>
        <v>0</v>
      </c>
      <c r="K16" s="158">
        <f>VLOOKUP($A16,[0]!Data,79,FALSE)</f>
        <v>0</v>
      </c>
      <c r="L16" s="158">
        <f>VLOOKUP($A16,[0]!Data,87,FALSE)</f>
        <v>0</v>
      </c>
      <c r="M16" s="159">
        <f>VLOOKUP($A16,[0]!Data,91,FALSE)</f>
        <v>0</v>
      </c>
      <c r="N16" s="158">
        <f>VLOOKUP(A16,[0]!Data,102,FALSE)</f>
        <v>0</v>
      </c>
      <c r="O16" s="158">
        <f>VLOOKUP($A16,[0]!Data,98,FALSE)</f>
        <v>0</v>
      </c>
      <c r="P16" s="158">
        <f>VLOOKUP($A16,[0]!Data,106,FALSE)</f>
        <v>0</v>
      </c>
      <c r="Q16" s="159">
        <f>VLOOKUP($A16,[0]!Data,110,FALSE)</f>
        <v>0</v>
      </c>
    </row>
    <row r="17" spans="1:17" s="16" customFormat="1" x14ac:dyDescent="0.25">
      <c r="A17" s="40" t="s">
        <v>881</v>
      </c>
      <c r="B17" s="40" t="s">
        <v>1936</v>
      </c>
      <c r="C17" s="158">
        <f>'Table 1'!D17/VLOOKUP(A17,[0]!Data,139,FALSE)</f>
        <v>5.8501418851375317E-2</v>
      </c>
      <c r="D17" s="158">
        <f>VLOOKUP(A17,[0]!Data,139,FALSE)/VLOOKUP(A17,[0]!Data,66,FALSE)</f>
        <v>57031.724137931036</v>
      </c>
      <c r="E17" s="200">
        <f>VLOOKUP($A17,[0]!Data,69,FALSE)</f>
        <v>85000</v>
      </c>
      <c r="F17" s="158" t="s">
        <v>2192</v>
      </c>
      <c r="G17" s="158" t="s">
        <v>2193</v>
      </c>
      <c r="H17" s="200">
        <f>VLOOKUP($A17,[0]!Data,72,FALSE)</f>
        <v>61500</v>
      </c>
      <c r="I17" s="158">
        <f>VLOOKUP($A17,[0]!Data,75,FALSE)</f>
        <v>39781</v>
      </c>
      <c r="J17" s="158">
        <f>VLOOKUP($A17,[0]!Data,83,FALSE)</f>
        <v>43750</v>
      </c>
      <c r="K17" s="158">
        <f>VLOOKUP($A17,[0]!Data,79,FALSE)</f>
        <v>49500</v>
      </c>
      <c r="L17" s="158">
        <f>VLOOKUP($A17,[0]!Data,87,FALSE)</f>
        <v>48957</v>
      </c>
      <c r="M17" s="159">
        <f>VLOOKUP($A17,[0]!Data,91,FALSE)</f>
        <v>0</v>
      </c>
      <c r="N17" s="158">
        <f>VLOOKUP(A17,[0]!Data,102,FALSE)</f>
        <v>47000</v>
      </c>
      <c r="O17" s="158">
        <f>VLOOKUP($A17,[0]!Data,98,FALSE)</f>
        <v>0</v>
      </c>
      <c r="P17" s="158">
        <f>VLOOKUP($A17,[0]!Data,106,FALSE)</f>
        <v>0</v>
      </c>
      <c r="Q17" s="159">
        <f>VLOOKUP($A17,[0]!Data,110,FALSE)</f>
        <v>0</v>
      </c>
    </row>
    <row r="18" spans="1:17" s="16" customFormat="1" x14ac:dyDescent="0.25">
      <c r="A18" s="40" t="s">
        <v>932</v>
      </c>
      <c r="B18" s="40" t="s">
        <v>1937</v>
      </c>
      <c r="C18" s="158">
        <f>'Table 1'!D18/VLOOKUP(A18,[0]!Data,139,FALSE)</f>
        <v>7.5989320061176355E-2</v>
      </c>
      <c r="D18" s="158">
        <f>VLOOKUP(A18,[0]!Data,139,FALSE)/VLOOKUP(A18,[0]!Data,66,FALSE)</f>
        <v>55110</v>
      </c>
      <c r="E18" s="200">
        <f>VLOOKUP($A18,[0]!Data,69,FALSE)</f>
        <v>78671</v>
      </c>
      <c r="F18" s="158" t="s">
        <v>2194</v>
      </c>
      <c r="G18" s="158" t="s">
        <v>2195</v>
      </c>
      <c r="H18" s="200">
        <f>VLOOKUP($A18,[0]!Data,72,FALSE)</f>
        <v>0</v>
      </c>
      <c r="I18" s="158">
        <f>VLOOKUP($A18,[0]!Data,75,FALSE)</f>
        <v>60296</v>
      </c>
      <c r="J18" s="158">
        <f>VLOOKUP($A18,[0]!Data,83,FALSE)</f>
        <v>0</v>
      </c>
      <c r="K18" s="158">
        <f>VLOOKUP($A18,[0]!Data,79,FALSE)</f>
        <v>54690</v>
      </c>
      <c r="L18" s="158">
        <f>VLOOKUP($A18,[0]!Data,87,FALSE)</f>
        <v>0</v>
      </c>
      <c r="M18" s="159">
        <f>VLOOKUP($A18,[0]!Data,91,FALSE)</f>
        <v>0</v>
      </c>
      <c r="N18" s="158">
        <f>VLOOKUP(A18,[0]!Data,102,FALSE)</f>
        <v>54690</v>
      </c>
      <c r="O18" s="158">
        <f>VLOOKUP($A18,[0]!Data,98,FALSE)</f>
        <v>0</v>
      </c>
      <c r="P18" s="158">
        <f>VLOOKUP($A18,[0]!Data,106,FALSE)</f>
        <v>0</v>
      </c>
      <c r="Q18" s="159">
        <f>VLOOKUP($A18,[0]!Data,110,FALSE)</f>
        <v>0</v>
      </c>
    </row>
    <row r="19" spans="1:17" s="16" customFormat="1" x14ac:dyDescent="0.25">
      <c r="A19" s="40" t="s">
        <v>947</v>
      </c>
      <c r="B19" s="40" t="s">
        <v>1938</v>
      </c>
      <c r="C19" s="158">
        <f>'Table 1'!D19/VLOOKUP(A19,[0]!Data,139,FALSE)</f>
        <v>0.11215060922662522</v>
      </c>
      <c r="D19" s="158">
        <f>VLOOKUP(A19,[0]!Data,139,FALSE)/VLOOKUP(A19,[0]!Data,66,FALSE)</f>
        <v>43288.657534246573</v>
      </c>
      <c r="E19" s="200">
        <f>VLOOKUP($A19,[0]!Data,69,FALSE)</f>
        <v>69401</v>
      </c>
      <c r="F19" s="158" t="s">
        <v>2196</v>
      </c>
      <c r="G19" s="158" t="s">
        <v>2197</v>
      </c>
      <c r="H19" s="200">
        <f>VLOOKUP($A19,[0]!Data,72,FALSE)</f>
        <v>53646</v>
      </c>
      <c r="I19" s="158">
        <f>VLOOKUP($A19,[0]!Data,75,FALSE)</f>
        <v>32052</v>
      </c>
      <c r="J19" s="158">
        <f>VLOOKUP($A19,[0]!Data,83,FALSE)</f>
        <v>0</v>
      </c>
      <c r="K19" s="158">
        <f>VLOOKUP($A19,[0]!Data,79,FALSE)</f>
        <v>0</v>
      </c>
      <c r="L19" s="158">
        <f>VLOOKUP($A19,[0]!Data,87,FALSE)</f>
        <v>36900</v>
      </c>
      <c r="M19" s="159">
        <f>VLOOKUP($A19,[0]!Data,91,FALSE)</f>
        <v>32052</v>
      </c>
      <c r="N19" s="158">
        <f>VLOOKUP(A19,[0]!Data,102,FALSE)</f>
        <v>0</v>
      </c>
      <c r="O19" s="158">
        <f>VLOOKUP($A19,[0]!Data,98,FALSE)</f>
        <v>0</v>
      </c>
      <c r="P19" s="158">
        <f>VLOOKUP($A19,[0]!Data,106,FALSE)</f>
        <v>0</v>
      </c>
      <c r="Q19" s="159">
        <f>VLOOKUP($A19,[0]!Data,110,FALSE)</f>
        <v>0</v>
      </c>
    </row>
    <row r="20" spans="1:17" s="16" customFormat="1" x14ac:dyDescent="0.25">
      <c r="A20" s="40" t="s">
        <v>961</v>
      </c>
      <c r="B20" s="40" t="s">
        <v>1939</v>
      </c>
      <c r="C20" s="158">
        <f>'Table 1'!D20/VLOOKUP(A20,[0]!Data,139,FALSE)</f>
        <v>5.1455237848422021E-2</v>
      </c>
      <c r="D20" s="158">
        <f>VLOOKUP(A20,[0]!Data,139,FALSE)/VLOOKUP(A20,[0]!Data,66,FALSE)</f>
        <v>44451.839999999997</v>
      </c>
      <c r="E20" s="200">
        <f>VLOOKUP($A20,[0]!Data,69,FALSE)</f>
        <v>58355</v>
      </c>
      <c r="F20" s="158" t="s">
        <v>2198</v>
      </c>
      <c r="G20" s="158" t="s">
        <v>2199</v>
      </c>
      <c r="H20" s="200">
        <f>VLOOKUP($A20,[0]!Data,72,FALSE)</f>
        <v>0</v>
      </c>
      <c r="I20" s="158">
        <f>VLOOKUP($A20,[0]!Data,75,FALSE)</f>
        <v>32267</v>
      </c>
      <c r="J20" s="158">
        <f>VLOOKUP($A20,[0]!Data,83,FALSE)</f>
        <v>39488</v>
      </c>
      <c r="K20" s="158">
        <f>VLOOKUP($A20,[0]!Data,79,FALSE)</f>
        <v>36885</v>
      </c>
      <c r="L20" s="158">
        <f>VLOOKUP($A20,[0]!Data,87,FALSE)</f>
        <v>34788</v>
      </c>
      <c r="M20" s="159">
        <f>VLOOKUP($A20,[0]!Data,91,FALSE)</f>
        <v>30621</v>
      </c>
      <c r="N20" s="158">
        <f>VLOOKUP(A20,[0]!Data,102,FALSE)</f>
        <v>39488</v>
      </c>
      <c r="O20" s="158">
        <f>VLOOKUP($A20,[0]!Data,98,FALSE)</f>
        <v>36885</v>
      </c>
      <c r="P20" s="158">
        <f>VLOOKUP($A20,[0]!Data,106,FALSE)</f>
        <v>34788</v>
      </c>
      <c r="Q20" s="159">
        <f>VLOOKUP($A20,[0]!Data,110,FALSE)</f>
        <v>30621</v>
      </c>
    </row>
    <row r="21" spans="1:17" s="16" customFormat="1" x14ac:dyDescent="0.25">
      <c r="A21" s="40" t="s">
        <v>991</v>
      </c>
      <c r="B21" s="40" t="s">
        <v>1940</v>
      </c>
      <c r="C21" s="158">
        <f>'Table 1'!D21/VLOOKUP(A21,[0]!Data,139,FALSE)</f>
        <v>3.8003905429473378E-2</v>
      </c>
      <c r="D21" s="158">
        <f>VLOOKUP(A21,[0]!Data,139,FALSE)/VLOOKUP(A21,[0]!Data,66,FALSE)</f>
        <v>47755.940130963521</v>
      </c>
      <c r="E21" s="200">
        <f>VLOOKUP($A21,[0]!Data,69,FALSE)</f>
        <v>105318</v>
      </c>
      <c r="F21" s="158" t="s">
        <v>2200</v>
      </c>
      <c r="G21" s="158" t="s">
        <v>2201</v>
      </c>
      <c r="H21" s="200">
        <f>VLOOKUP($A21,[0]!Data,72,FALSE)</f>
        <v>69000</v>
      </c>
      <c r="I21" s="158">
        <f>VLOOKUP($A21,[0]!Data,75,FALSE)</f>
        <v>51379</v>
      </c>
      <c r="J21" s="158">
        <f>VLOOKUP($A21,[0]!Data,83,FALSE)</f>
        <v>42018</v>
      </c>
      <c r="K21" s="158">
        <f>VLOOKUP($A21,[0]!Data,79,FALSE)</f>
        <v>42786</v>
      </c>
      <c r="L21" s="158">
        <f>VLOOKUP($A21,[0]!Data,87,FALSE)</f>
        <v>46488</v>
      </c>
      <c r="M21" s="159">
        <f>VLOOKUP($A21,[0]!Data,91,FALSE)</f>
        <v>0</v>
      </c>
      <c r="N21" s="158">
        <f>VLOOKUP(A21,[0]!Data,102,FALSE)</f>
        <v>38866</v>
      </c>
      <c r="O21" s="158">
        <f>VLOOKUP($A21,[0]!Data,98,FALSE)</f>
        <v>39333</v>
      </c>
      <c r="P21" s="158">
        <f>VLOOKUP($A21,[0]!Data,106,FALSE)</f>
        <v>37580</v>
      </c>
      <c r="Q21" s="159">
        <f>VLOOKUP($A21,[0]!Data,110,FALSE)</f>
        <v>0</v>
      </c>
    </row>
    <row r="22" spans="1:17" s="16" customFormat="1" x14ac:dyDescent="0.25">
      <c r="A22" s="40" t="s">
        <v>1007</v>
      </c>
      <c r="B22" s="40" t="s">
        <v>1941</v>
      </c>
      <c r="C22" s="158">
        <f>'Table 1'!D22/VLOOKUP(A22,[0]!Data,139,FALSE)</f>
        <v>6.5419968925841593E-2</v>
      </c>
      <c r="D22" s="158">
        <f>VLOOKUP(A22,[0]!Data,139,FALSE)/VLOOKUP(A22,[0]!Data,66,FALSE)</f>
        <v>40558.293289146641</v>
      </c>
      <c r="E22" s="200">
        <f>VLOOKUP($A22,[0]!Data,69,FALSE)</f>
        <v>72313</v>
      </c>
      <c r="F22" s="158" t="s">
        <v>2202</v>
      </c>
      <c r="G22" s="158" t="s">
        <v>2203</v>
      </c>
      <c r="H22" s="200">
        <f>VLOOKUP($A22,[0]!Data,72,FALSE)</f>
        <v>52280</v>
      </c>
      <c r="I22" s="158">
        <f>VLOOKUP($A22,[0]!Data,75,FALSE)</f>
        <v>48836</v>
      </c>
      <c r="J22" s="158">
        <f>VLOOKUP($A22,[0]!Data,83,FALSE)</f>
        <v>0</v>
      </c>
      <c r="K22" s="158">
        <f>VLOOKUP($A22,[0]!Data,79,FALSE)</f>
        <v>0</v>
      </c>
      <c r="L22" s="158">
        <f>VLOOKUP($A22,[0]!Data,87,FALSE)</f>
        <v>42253</v>
      </c>
      <c r="M22" s="159">
        <f>VLOOKUP($A22,[0]!Data,91,FALSE)</f>
        <v>0</v>
      </c>
      <c r="N22" s="158">
        <f>VLOOKUP(A22,[0]!Data,102,FALSE)</f>
        <v>0</v>
      </c>
      <c r="O22" s="158">
        <f>VLOOKUP($A22,[0]!Data,98,FALSE)</f>
        <v>0</v>
      </c>
      <c r="P22" s="158">
        <f>VLOOKUP($A22,[0]!Data,106,FALSE)</f>
        <v>0</v>
      </c>
      <c r="Q22" s="159">
        <f>VLOOKUP($A22,[0]!Data,110,FALSE)</f>
        <v>33078</v>
      </c>
    </row>
    <row r="23" spans="1:17" s="16" customFormat="1" x14ac:dyDescent="0.25">
      <c r="A23" s="40" t="s">
        <v>1024</v>
      </c>
      <c r="B23" s="40" t="s">
        <v>1942</v>
      </c>
      <c r="C23" s="158">
        <f>'Table 1'!D23/VLOOKUP(A23,[0]!Data,139,FALSE)</f>
        <v>9.4632888689608785E-2</v>
      </c>
      <c r="D23" s="158">
        <f>VLOOKUP(A23,[0]!Data,139,FALSE)/VLOOKUP(A23,[0]!Data,66,FALSE)</f>
        <v>44829.14572864322</v>
      </c>
      <c r="E23" s="200">
        <f>VLOOKUP($A23,[0]!Data,69,FALSE)</f>
        <v>62241</v>
      </c>
      <c r="F23" s="158" t="s">
        <v>2204</v>
      </c>
      <c r="G23" s="158" t="s">
        <v>2177</v>
      </c>
      <c r="H23" s="200">
        <f>VLOOKUP($A23,[0]!Data,72,FALSE)</f>
        <v>0</v>
      </c>
      <c r="I23" s="158">
        <f>VLOOKUP($A23,[0]!Data,75,FALSE)</f>
        <v>0</v>
      </c>
      <c r="J23" s="158">
        <f>VLOOKUP($A23,[0]!Data,83,FALSE)</f>
        <v>0</v>
      </c>
      <c r="K23" s="158">
        <f>VLOOKUP($A23,[0]!Data,79,FALSE)</f>
        <v>0</v>
      </c>
      <c r="L23" s="158">
        <f>VLOOKUP($A23,[0]!Data,87,FALSE)</f>
        <v>0</v>
      </c>
      <c r="M23" s="159">
        <f>VLOOKUP($A23,[0]!Data,91,FALSE)</f>
        <v>0</v>
      </c>
      <c r="N23" s="158">
        <f>VLOOKUP(A23,[0]!Data,102,FALSE)</f>
        <v>50043</v>
      </c>
      <c r="O23" s="158">
        <f>VLOOKUP($A23,[0]!Data,98,FALSE)</f>
        <v>50043</v>
      </c>
      <c r="P23" s="158">
        <f>VLOOKUP($A23,[0]!Data,106,FALSE)</f>
        <v>50043</v>
      </c>
      <c r="Q23" s="159">
        <f>VLOOKUP($A23,[0]!Data,110,FALSE)</f>
        <v>0</v>
      </c>
    </row>
    <row r="24" spans="1:17" s="16" customFormat="1" x14ac:dyDescent="0.25">
      <c r="A24" s="40" t="s">
        <v>1037</v>
      </c>
      <c r="B24" s="40" t="s">
        <v>1943</v>
      </c>
      <c r="C24" s="158">
        <f>'Table 1'!D24/VLOOKUP(A24,[0]!Data,139,FALSE)</f>
        <v>0.15455212636568977</v>
      </c>
      <c r="D24" s="158">
        <f>VLOOKUP(A24,[0]!Data,139,FALSE)/VLOOKUP(A24,[0]!Data,66,FALSE)</f>
        <v>42845.666666666664</v>
      </c>
      <c r="E24" s="200">
        <f>VLOOKUP($A24,[0]!Data,69,FALSE)</f>
        <v>48060</v>
      </c>
      <c r="F24" s="158" t="s">
        <v>2205</v>
      </c>
      <c r="G24" s="158" t="s">
        <v>2206</v>
      </c>
      <c r="H24" s="200">
        <f>VLOOKUP($A24,[0]!Data,72,FALSE)</f>
        <v>0</v>
      </c>
      <c r="I24" s="158">
        <f>VLOOKUP($A24,[0]!Data,75,FALSE)</f>
        <v>26013</v>
      </c>
      <c r="J24" s="158">
        <f>VLOOKUP($A24,[0]!Data,83,FALSE)</f>
        <v>0</v>
      </c>
      <c r="K24" s="158">
        <f>VLOOKUP($A24,[0]!Data,79,FALSE)</f>
        <v>0</v>
      </c>
      <c r="L24" s="158">
        <f>VLOOKUP($A24,[0]!Data,87,FALSE)</f>
        <v>0</v>
      </c>
      <c r="M24" s="159">
        <f>VLOOKUP($A24,[0]!Data,91,FALSE)</f>
        <v>0</v>
      </c>
      <c r="N24" s="158">
        <f>VLOOKUP(A24,[0]!Data,102,FALSE)</f>
        <v>0</v>
      </c>
      <c r="O24" s="158">
        <f>VLOOKUP($A24,[0]!Data,98,FALSE)</f>
        <v>30476</v>
      </c>
      <c r="P24" s="158">
        <f>VLOOKUP($A24,[0]!Data,106,FALSE)</f>
        <v>0</v>
      </c>
      <c r="Q24" s="159">
        <f>VLOOKUP($A24,[0]!Data,110,FALSE)</f>
        <v>0</v>
      </c>
    </row>
    <row r="25" spans="1:17" s="16" customFormat="1" x14ac:dyDescent="0.25">
      <c r="A25" s="40" t="s">
        <v>1053</v>
      </c>
      <c r="B25" s="40" t="s">
        <v>1944</v>
      </c>
      <c r="C25" s="158">
        <f>'Table 1'!D25/VLOOKUP(A25,[0]!Data,139,FALSE)</f>
        <v>3.7470747171923113E-2</v>
      </c>
      <c r="D25" s="158">
        <f>VLOOKUP(A25,[0]!Data,139,FALSE)/VLOOKUP(A25,[0]!Data,66,FALSE)</f>
        <v>62304.20970266041</v>
      </c>
      <c r="E25" s="200">
        <f>VLOOKUP($A25,[0]!Data,69,FALSE)</f>
        <v>125604</v>
      </c>
      <c r="F25" s="158" t="s">
        <v>2207</v>
      </c>
      <c r="G25" s="158" t="s">
        <v>2177</v>
      </c>
      <c r="H25" s="200">
        <f>VLOOKUP($A25,[0]!Data,72,FALSE)</f>
        <v>86004</v>
      </c>
      <c r="I25" s="158">
        <f>VLOOKUP($A25,[0]!Data,75,FALSE)</f>
        <v>67291</v>
      </c>
      <c r="J25" s="158">
        <f>VLOOKUP($A25,[0]!Data,83,FALSE)</f>
        <v>47850</v>
      </c>
      <c r="K25" s="158">
        <f>VLOOKUP($A25,[0]!Data,79,FALSE)</f>
        <v>61334</v>
      </c>
      <c r="L25" s="158">
        <f>VLOOKUP($A25,[0]!Data,87,FALSE)</f>
        <v>64614</v>
      </c>
      <c r="M25" s="159">
        <f>VLOOKUP($A25,[0]!Data,91,FALSE)</f>
        <v>0</v>
      </c>
      <c r="N25" s="158">
        <f>VLOOKUP(A25,[0]!Data,102,FALSE)</f>
        <v>38462</v>
      </c>
      <c r="O25" s="158">
        <f>VLOOKUP($A25,[0]!Data,98,FALSE)</f>
        <v>52154</v>
      </c>
      <c r="P25" s="158">
        <f>VLOOKUP($A25,[0]!Data,106,FALSE)</f>
        <v>46992</v>
      </c>
      <c r="Q25" s="159">
        <f>VLOOKUP($A25,[0]!Data,110,FALSE)</f>
        <v>0</v>
      </c>
    </row>
    <row r="26" spans="1:17" s="16" customFormat="1" x14ac:dyDescent="0.25">
      <c r="A26" s="40" t="s">
        <v>1086</v>
      </c>
      <c r="B26" s="40" t="s">
        <v>1945</v>
      </c>
      <c r="C26" s="158">
        <f>'Table 1'!D26/VLOOKUP(A26,[0]!Data,139,FALSE)</f>
        <v>0.11515390227996203</v>
      </c>
      <c r="D26" s="158">
        <f>VLOOKUP(A26,[0]!Data,139,FALSE)/VLOOKUP(A26,[0]!Data,66,FALSE)</f>
        <v>35877.451737451738</v>
      </c>
      <c r="E26" s="200">
        <f>VLOOKUP($A26,[0]!Data,69,FALSE)</f>
        <v>51600</v>
      </c>
      <c r="F26" s="158" t="s">
        <v>2190</v>
      </c>
      <c r="G26" s="158" t="s">
        <v>2201</v>
      </c>
      <c r="H26" s="200">
        <f>VLOOKUP($A26,[0]!Data,72,FALSE)</f>
        <v>39000</v>
      </c>
      <c r="I26" s="158">
        <f>VLOOKUP($A26,[0]!Data,75,FALSE)</f>
        <v>0</v>
      </c>
      <c r="J26" s="158">
        <f>VLOOKUP($A26,[0]!Data,83,FALSE)</f>
        <v>0</v>
      </c>
      <c r="K26" s="158">
        <f>VLOOKUP($A26,[0]!Data,79,FALSE)</f>
        <v>0</v>
      </c>
      <c r="L26" s="158">
        <f>VLOOKUP($A26,[0]!Data,87,FALSE)</f>
        <v>0</v>
      </c>
      <c r="M26" s="159">
        <f>VLOOKUP($A26,[0]!Data,91,FALSE)</f>
        <v>0</v>
      </c>
      <c r="N26" s="158">
        <f>VLOOKUP(A26,[0]!Data,102,FALSE)</f>
        <v>0</v>
      </c>
      <c r="O26" s="158">
        <f>VLOOKUP($A26,[0]!Data,98,FALSE)</f>
        <v>0</v>
      </c>
      <c r="P26" s="158">
        <f>VLOOKUP($A26,[0]!Data,106,FALSE)</f>
        <v>0</v>
      </c>
      <c r="Q26" s="159">
        <f>VLOOKUP($A26,[0]!Data,110,FALSE)</f>
        <v>0</v>
      </c>
    </row>
    <row r="27" spans="1:17" s="16" customFormat="1" x14ac:dyDescent="0.25">
      <c r="A27" s="40" t="s">
        <v>1132</v>
      </c>
      <c r="B27" s="40" t="s">
        <v>1946</v>
      </c>
      <c r="C27" s="158">
        <f>'Table 1'!D27/VLOOKUP(A27,[0]!Data,139,FALSE)</f>
        <v>7.4210274473851395E-2</v>
      </c>
      <c r="D27" s="158">
        <f>VLOOKUP(A27,[0]!Data,139,FALSE)/VLOOKUP(A27,[0]!Data,66,FALSE)</f>
        <v>47917.919075144513</v>
      </c>
      <c r="E27" s="200">
        <f>VLOOKUP($A27,[0]!Data,69,FALSE)</f>
        <v>133948</v>
      </c>
      <c r="F27" s="158" t="s">
        <v>2208</v>
      </c>
      <c r="G27" s="158" t="s">
        <v>2209</v>
      </c>
      <c r="H27" s="200">
        <f>VLOOKUP($A27,[0]!Data,72,FALSE)</f>
        <v>99507</v>
      </c>
      <c r="I27" s="158">
        <f>VLOOKUP($A27,[0]!Data,75,FALSE)</f>
        <v>51573</v>
      </c>
      <c r="J27" s="158">
        <f>VLOOKUP($A27,[0]!Data,83,FALSE)</f>
        <v>51573</v>
      </c>
      <c r="K27" s="158">
        <f>VLOOKUP($A27,[0]!Data,79,FALSE)</f>
        <v>51573</v>
      </c>
      <c r="L27" s="158">
        <f>VLOOKUP($A27,[0]!Data,87,FALSE)</f>
        <v>51573</v>
      </c>
      <c r="M27" s="159">
        <f>VLOOKUP($A27,[0]!Data,91,FALSE)</f>
        <v>51573</v>
      </c>
      <c r="N27" s="158">
        <f>VLOOKUP(A27,[0]!Data,102,FALSE)</f>
        <v>39756</v>
      </c>
      <c r="O27" s="158">
        <f>VLOOKUP($A27,[0]!Data,98,FALSE)</f>
        <v>39756</v>
      </c>
      <c r="P27" s="158">
        <f>VLOOKUP($A27,[0]!Data,106,FALSE)</f>
        <v>39756</v>
      </c>
      <c r="Q27" s="159">
        <f>VLOOKUP($A27,[0]!Data,110,FALSE)</f>
        <v>39756</v>
      </c>
    </row>
    <row r="28" spans="1:17" s="16" customFormat="1" x14ac:dyDescent="0.25">
      <c r="A28" s="40" t="s">
        <v>1146</v>
      </c>
      <c r="B28" s="40" t="s">
        <v>1947</v>
      </c>
      <c r="C28" s="158">
        <f>'Table 1'!D28/VLOOKUP(A28,[0]!Data,139,FALSE)</f>
        <v>9.235465202426664E-2</v>
      </c>
      <c r="D28" s="158">
        <f>VLOOKUP(A28,[0]!Data,139,FALSE)/VLOOKUP(A28,[0]!Data,66,FALSE)</f>
        <v>52220.117907148117</v>
      </c>
      <c r="E28" s="200">
        <f>VLOOKUP($A28,[0]!Data,69,FALSE)</f>
        <v>75141</v>
      </c>
      <c r="F28" s="158" t="s">
        <v>2210</v>
      </c>
      <c r="G28" s="158" t="s">
        <v>2195</v>
      </c>
      <c r="H28" s="200">
        <f>VLOOKUP($A28,[0]!Data,72,FALSE)</f>
        <v>0</v>
      </c>
      <c r="I28" s="158">
        <f>VLOOKUP($A28,[0]!Data,75,FALSE)</f>
        <v>35955</v>
      </c>
      <c r="J28" s="158">
        <f>VLOOKUP($A28,[0]!Data,83,FALSE)</f>
        <v>48108</v>
      </c>
      <c r="K28" s="158">
        <f>VLOOKUP($A28,[0]!Data,79,FALSE)</f>
        <v>45494</v>
      </c>
      <c r="L28" s="158">
        <f>VLOOKUP($A28,[0]!Data,87,FALSE)</f>
        <v>46579</v>
      </c>
      <c r="M28" s="159">
        <f>VLOOKUP($A28,[0]!Data,91,FALSE)</f>
        <v>45827</v>
      </c>
      <c r="N28" s="158">
        <f>VLOOKUP(A28,[0]!Data,102,FALSE)</f>
        <v>0</v>
      </c>
      <c r="O28" s="158">
        <f>VLOOKUP($A28,[0]!Data,98,FALSE)</f>
        <v>0</v>
      </c>
      <c r="P28" s="158">
        <f>VLOOKUP($A28,[0]!Data,106,FALSE)</f>
        <v>0</v>
      </c>
      <c r="Q28" s="159">
        <f>VLOOKUP($A28,[0]!Data,110,FALSE)</f>
        <v>0</v>
      </c>
    </row>
    <row r="29" spans="1:17" s="16" customFormat="1" x14ac:dyDescent="0.25">
      <c r="A29" s="40" t="s">
        <v>1161</v>
      </c>
      <c r="B29" s="40" t="s">
        <v>1176</v>
      </c>
      <c r="C29" s="158">
        <f>'Table 1'!D29/VLOOKUP(A29,[0]!Data,139,FALSE)</f>
        <v>7.4590680626523728E-2</v>
      </c>
      <c r="D29" s="158">
        <f>VLOOKUP(A29,[0]!Data,139,FALSE)/VLOOKUP(A29,[0]!Data,66,FALSE)</f>
        <v>51330.857142857145</v>
      </c>
      <c r="E29" s="200">
        <f>VLOOKUP($A29,[0]!Data,69,FALSE)</f>
        <v>103010</v>
      </c>
      <c r="F29" s="158" t="s">
        <v>2211</v>
      </c>
      <c r="G29" s="158" t="s">
        <v>2193</v>
      </c>
      <c r="H29" s="200">
        <f>VLOOKUP($A29,[0]!Data,72,FALSE)</f>
        <v>65564</v>
      </c>
      <c r="I29" s="158">
        <f>VLOOKUP($A29,[0]!Data,75,FALSE)</f>
        <v>40776</v>
      </c>
      <c r="J29" s="158">
        <f>VLOOKUP($A29,[0]!Data,83,FALSE)</f>
        <v>62165</v>
      </c>
      <c r="K29" s="158">
        <f>VLOOKUP($A29,[0]!Data,79,FALSE)</f>
        <v>45180</v>
      </c>
      <c r="L29" s="158">
        <f>VLOOKUP($A29,[0]!Data,87,FALSE)</f>
        <v>64211</v>
      </c>
      <c r="M29" s="159">
        <f>VLOOKUP($A29,[0]!Data,91,FALSE)</f>
        <v>48975</v>
      </c>
      <c r="N29" s="158">
        <f>VLOOKUP(A29,[0]!Data,102,FALSE)</f>
        <v>47888</v>
      </c>
      <c r="O29" s="158">
        <f>VLOOKUP($A29,[0]!Data,98,FALSE)</f>
        <v>40980</v>
      </c>
      <c r="P29" s="158">
        <f>VLOOKUP($A29,[0]!Data,106,FALSE)</f>
        <v>47140</v>
      </c>
      <c r="Q29" s="159">
        <f>VLOOKUP($A29,[0]!Data,110,FALSE)</f>
        <v>0</v>
      </c>
    </row>
    <row r="30" spans="1:17" s="16" customFormat="1" x14ac:dyDescent="0.25">
      <c r="A30" s="40" t="s">
        <v>1187</v>
      </c>
      <c r="B30" s="40" t="s">
        <v>1948</v>
      </c>
      <c r="C30" s="158">
        <f>'Table 1'!D30/VLOOKUP(A30,[0]!Data,139,FALSE)</f>
        <v>8.3902963772351111E-2</v>
      </c>
      <c r="D30" s="158">
        <f>VLOOKUP(A30,[0]!Data,139,FALSE)/VLOOKUP(A30,[0]!Data,66,FALSE)</f>
        <v>30142.723404255321</v>
      </c>
      <c r="E30" s="200">
        <f>VLOOKUP($A30,[0]!Data,69,FALSE)</f>
        <v>73429</v>
      </c>
      <c r="F30" s="158" t="s">
        <v>2190</v>
      </c>
      <c r="G30" s="158" t="s">
        <v>2181</v>
      </c>
      <c r="H30" s="200">
        <f>VLOOKUP($A30,[0]!Data,72,FALSE)</f>
        <v>0</v>
      </c>
      <c r="I30" s="158">
        <f>VLOOKUP($A30,[0]!Data,75,FALSE)</f>
        <v>48569</v>
      </c>
      <c r="J30" s="158">
        <f>VLOOKUP($A30,[0]!Data,83,FALSE)</f>
        <v>44051</v>
      </c>
      <c r="K30" s="158">
        <f>VLOOKUP($A30,[0]!Data,79,FALSE)</f>
        <v>0</v>
      </c>
      <c r="L30" s="158">
        <f>VLOOKUP($A30,[0]!Data,87,FALSE)</f>
        <v>32869</v>
      </c>
      <c r="M30" s="159">
        <f>VLOOKUP($A30,[0]!Data,91,FALSE)</f>
        <v>32869</v>
      </c>
      <c r="N30" s="158">
        <f>VLOOKUP(A30,[0]!Data,102,FALSE)</f>
        <v>0</v>
      </c>
      <c r="O30" s="158">
        <f>VLOOKUP($A30,[0]!Data,98,FALSE)</f>
        <v>38062</v>
      </c>
      <c r="P30" s="158">
        <f>VLOOKUP($A30,[0]!Data,106,FALSE)</f>
        <v>0</v>
      </c>
      <c r="Q30" s="159">
        <f>VLOOKUP($A30,[0]!Data,110,FALSE)</f>
        <v>0</v>
      </c>
    </row>
    <row r="31" spans="1:17" s="16" customFormat="1" x14ac:dyDescent="0.25">
      <c r="A31" s="40" t="s">
        <v>1201</v>
      </c>
      <c r="B31" s="40" t="s">
        <v>1949</v>
      </c>
      <c r="C31" s="158">
        <f>'Table 1'!D31/VLOOKUP(A31,[0]!Data,139,FALSE)</f>
        <v>7.3318202188817155E-2</v>
      </c>
      <c r="D31" s="158">
        <f>VLOOKUP(A31,[0]!Data,139,FALSE)/VLOOKUP(A31,[0]!Data,66,FALSE)</f>
        <v>59730.410526315791</v>
      </c>
      <c r="E31" s="200">
        <f>VLOOKUP($A31,[0]!Data,69,FALSE)</f>
        <v>120467</v>
      </c>
      <c r="F31" s="158" t="s">
        <v>2212</v>
      </c>
      <c r="G31" s="158" t="s">
        <v>2213</v>
      </c>
      <c r="H31" s="200">
        <f>VLOOKUP($A31,[0]!Data,72,FALSE)</f>
        <v>88000</v>
      </c>
      <c r="I31" s="158">
        <f>VLOOKUP($A31,[0]!Data,75,FALSE)</f>
        <v>54621</v>
      </c>
      <c r="J31" s="158">
        <f>VLOOKUP($A31,[0]!Data,83,FALSE)</f>
        <v>63788</v>
      </c>
      <c r="K31" s="158">
        <f>VLOOKUP($A31,[0]!Data,79,FALSE)</f>
        <v>63096</v>
      </c>
      <c r="L31" s="158">
        <f>VLOOKUP($A31,[0]!Data,87,FALSE)</f>
        <v>63788</v>
      </c>
      <c r="M31" s="159">
        <f>VLOOKUP($A31,[0]!Data,91,FALSE)</f>
        <v>46161</v>
      </c>
      <c r="N31" s="158">
        <f>VLOOKUP(A31,[0]!Data,102,FALSE)</f>
        <v>47168</v>
      </c>
      <c r="O31" s="158">
        <f>VLOOKUP($A31,[0]!Data,98,FALSE)</f>
        <v>45191</v>
      </c>
      <c r="P31" s="158">
        <f>VLOOKUP($A31,[0]!Data,106,FALSE)</f>
        <v>48383</v>
      </c>
      <c r="Q31" s="159">
        <f>VLOOKUP($A31,[0]!Data,110,FALSE)</f>
        <v>0</v>
      </c>
    </row>
    <row r="32" spans="1:17" s="16" customFormat="1" x14ac:dyDescent="0.25">
      <c r="A32" s="40" t="s">
        <v>1218</v>
      </c>
      <c r="B32" s="40" t="s">
        <v>1950</v>
      </c>
      <c r="C32" s="158">
        <f>'Table 1'!D32/VLOOKUP(A32,[0]!Data,139,FALSE)</f>
        <v>7.6043731455375935E-2</v>
      </c>
      <c r="D32" s="158">
        <f>VLOOKUP(A32,[0]!Data,139,FALSE)/VLOOKUP(A32,[0]!Data,66,FALSE)</f>
        <v>48733.8</v>
      </c>
      <c r="E32" s="200">
        <f>VLOOKUP($A32,[0]!Data,69,FALSE)</f>
        <v>70149</v>
      </c>
      <c r="F32" s="158" t="s">
        <v>2214</v>
      </c>
      <c r="G32" s="158" t="s">
        <v>2215</v>
      </c>
      <c r="H32" s="200">
        <f>VLOOKUP($A32,[0]!Data,72,FALSE)</f>
        <v>0</v>
      </c>
      <c r="I32" s="158">
        <f>VLOOKUP($A32,[0]!Data,75,FALSE)</f>
        <v>31577</v>
      </c>
      <c r="J32" s="158">
        <f>VLOOKUP($A32,[0]!Data,83,FALSE)</f>
        <v>0</v>
      </c>
      <c r="K32" s="158">
        <f>VLOOKUP($A32,[0]!Data,79,FALSE)</f>
        <v>0</v>
      </c>
      <c r="L32" s="158">
        <f>VLOOKUP($A32,[0]!Data,87,FALSE)</f>
        <v>0</v>
      </c>
      <c r="M32" s="159">
        <f>VLOOKUP($A32,[0]!Data,91,FALSE)</f>
        <v>0</v>
      </c>
      <c r="N32" s="158">
        <f>VLOOKUP(A32,[0]!Data,102,FALSE)</f>
        <v>0</v>
      </c>
      <c r="O32" s="158">
        <f>VLOOKUP($A32,[0]!Data,98,FALSE)</f>
        <v>25330</v>
      </c>
      <c r="P32" s="158">
        <f>VLOOKUP($A32,[0]!Data,106,FALSE)</f>
        <v>0</v>
      </c>
      <c r="Q32" s="159">
        <f>VLOOKUP($A32,[0]!Data,110,FALSE)</f>
        <v>0</v>
      </c>
    </row>
    <row r="33" spans="1:17" s="16" customFormat="1" x14ac:dyDescent="0.25">
      <c r="A33" s="40" t="s">
        <v>1232</v>
      </c>
      <c r="B33" s="40" t="s">
        <v>1951</v>
      </c>
      <c r="C33" s="158">
        <f>'Table 1'!D33/VLOOKUP(A33,[0]!Data,139,FALSE)</f>
        <v>0.12564195121951219</v>
      </c>
      <c r="D33" s="158">
        <f>VLOOKUP(A33,[0]!Data,139,FALSE)/VLOOKUP(A33,[0]!Data,66,FALSE)</f>
        <v>64062.5</v>
      </c>
      <c r="E33" s="200">
        <f>VLOOKUP($A33,[0]!Data,69,FALSE)</f>
        <v>74559</v>
      </c>
      <c r="F33" s="158" t="s">
        <v>2216</v>
      </c>
      <c r="G33" s="158" t="s">
        <v>2217</v>
      </c>
      <c r="H33" s="200">
        <f>VLOOKUP($A33,[0]!Data,72,FALSE)</f>
        <v>0</v>
      </c>
      <c r="I33" s="158">
        <f>VLOOKUP($A33,[0]!Data,75,FALSE)</f>
        <v>39542</v>
      </c>
      <c r="J33" s="158">
        <f>VLOOKUP($A33,[0]!Data,83,FALSE)</f>
        <v>0</v>
      </c>
      <c r="K33" s="158">
        <f>VLOOKUP($A33,[0]!Data,79,FALSE)</f>
        <v>38763</v>
      </c>
      <c r="L33" s="158">
        <f>VLOOKUP($A33,[0]!Data,87,FALSE)</f>
        <v>38763</v>
      </c>
      <c r="M33" s="159">
        <f>VLOOKUP($A33,[0]!Data,91,FALSE)</f>
        <v>35487</v>
      </c>
      <c r="N33" s="158">
        <f>VLOOKUP(A33,[0]!Data,102,FALSE)</f>
        <v>38763</v>
      </c>
      <c r="O33" s="158">
        <f>VLOOKUP($A33,[0]!Data,98,FALSE)</f>
        <v>0</v>
      </c>
      <c r="P33" s="158">
        <f>VLOOKUP($A33,[0]!Data,106,FALSE)</f>
        <v>0</v>
      </c>
      <c r="Q33" s="159">
        <f>VLOOKUP($A33,[0]!Data,110,FALSE)</f>
        <v>0</v>
      </c>
    </row>
    <row r="34" spans="1:17" s="16" customFormat="1" x14ac:dyDescent="0.25">
      <c r="A34" s="40" t="s">
        <v>1256</v>
      </c>
      <c r="B34" s="40" t="s">
        <v>1952</v>
      </c>
      <c r="C34" s="158">
        <f>'Table 1'!D34/VLOOKUP(A34,[0]!Data,139,FALSE)</f>
        <v>6.072489228068071E-2</v>
      </c>
      <c r="D34" s="158">
        <f>VLOOKUP(A34,[0]!Data,139,FALSE)/VLOOKUP(A34,[0]!Data,66,FALSE)</f>
        <v>59836.882352941175</v>
      </c>
      <c r="E34" s="200">
        <f>VLOOKUP($A34,[0]!Data,69,FALSE)</f>
        <v>73288</v>
      </c>
      <c r="F34" s="158" t="s">
        <v>2218</v>
      </c>
      <c r="G34" s="158" t="s">
        <v>2179</v>
      </c>
      <c r="H34" s="200">
        <f>VLOOKUP($A34,[0]!Data,72,FALSE)</f>
        <v>48336</v>
      </c>
      <c r="I34" s="158">
        <f>VLOOKUP($A34,[0]!Data,75,FALSE)</f>
        <v>0</v>
      </c>
      <c r="J34" s="158">
        <f>VLOOKUP($A34,[0]!Data,83,FALSE)</f>
        <v>0</v>
      </c>
      <c r="K34" s="158">
        <f>VLOOKUP($A34,[0]!Data,79,FALSE)</f>
        <v>0</v>
      </c>
      <c r="L34" s="158">
        <f>VLOOKUP($A34,[0]!Data,87,FALSE)</f>
        <v>0</v>
      </c>
      <c r="M34" s="159">
        <f>VLOOKUP($A34,[0]!Data,91,FALSE)</f>
        <v>0</v>
      </c>
      <c r="N34" s="158">
        <f>VLOOKUP(A34,[0]!Data,102,FALSE)</f>
        <v>0</v>
      </c>
      <c r="O34" s="158">
        <f>VLOOKUP($A34,[0]!Data,98,FALSE)</f>
        <v>0</v>
      </c>
      <c r="P34" s="158">
        <f>VLOOKUP($A34,[0]!Data,106,FALSE)</f>
        <v>0</v>
      </c>
      <c r="Q34" s="159">
        <f>VLOOKUP($A34,[0]!Data,110,FALSE)</f>
        <v>0</v>
      </c>
    </row>
    <row r="35" spans="1:17" s="16" customFormat="1" x14ac:dyDescent="0.25">
      <c r="A35" s="40" t="s">
        <v>1268</v>
      </c>
      <c r="B35" s="40" t="s">
        <v>1953</v>
      </c>
      <c r="C35" s="158">
        <f>'Table 1'!D35/VLOOKUP(A35,[0]!Data,139,FALSE)</f>
        <v>5.2380487907633395E-2</v>
      </c>
      <c r="D35" s="158">
        <f>VLOOKUP(A35,[0]!Data,139,FALSE)/VLOOKUP(A35,[0]!Data,66,FALSE)</f>
        <v>59992.66483516484</v>
      </c>
      <c r="E35" s="200">
        <f>VLOOKUP($A35,[0]!Data,69,FALSE)</f>
        <v>79567</v>
      </c>
      <c r="F35" s="158" t="s">
        <v>2219</v>
      </c>
      <c r="G35" s="158" t="s">
        <v>2181</v>
      </c>
      <c r="H35" s="200">
        <f>VLOOKUP($A35,[0]!Data,72,FALSE)</f>
        <v>0</v>
      </c>
      <c r="I35" s="158">
        <f>VLOOKUP($A35,[0]!Data,75,FALSE)</f>
        <v>36769</v>
      </c>
      <c r="J35" s="158">
        <f>VLOOKUP($A35,[0]!Data,83,FALSE)</f>
        <v>47086</v>
      </c>
      <c r="K35" s="158">
        <f>VLOOKUP($A35,[0]!Data,79,FALSE)</f>
        <v>47805</v>
      </c>
      <c r="L35" s="158">
        <f>VLOOKUP($A35,[0]!Data,87,FALSE)</f>
        <v>53343</v>
      </c>
      <c r="M35" s="159">
        <f>VLOOKUP($A35,[0]!Data,91,FALSE)</f>
        <v>36036</v>
      </c>
      <c r="N35" s="158">
        <f>VLOOKUP(A35,[0]!Data,102,FALSE)</f>
        <v>44960</v>
      </c>
      <c r="O35" s="158">
        <f>VLOOKUP($A35,[0]!Data,98,FALSE)</f>
        <v>40010</v>
      </c>
      <c r="P35" s="158">
        <f>VLOOKUP($A35,[0]!Data,106,FALSE)</f>
        <v>34574</v>
      </c>
      <c r="Q35" s="159">
        <f>VLOOKUP($A35,[0]!Data,110,FALSE)</f>
        <v>0</v>
      </c>
    </row>
    <row r="36" spans="1:17" s="16" customFormat="1" x14ac:dyDescent="0.25">
      <c r="A36" s="40" t="s">
        <v>1328</v>
      </c>
      <c r="B36" s="40" t="s">
        <v>1954</v>
      </c>
      <c r="C36" s="158">
        <f>'Table 1'!D36/VLOOKUP(A36,[0]!Data,139,FALSE)</f>
        <v>8.1742776466006181E-2</v>
      </c>
      <c r="D36" s="158">
        <f>VLOOKUP(A36,[0]!Data,139,FALSE)/VLOOKUP(A36,[0]!Data,66,FALSE)</f>
        <v>54089.532587228445</v>
      </c>
      <c r="E36" s="200">
        <f>VLOOKUP($A36,[0]!Data,69,FALSE)</f>
        <v>98644</v>
      </c>
      <c r="F36" s="158" t="s">
        <v>2220</v>
      </c>
      <c r="G36" s="158" t="s">
        <v>2221</v>
      </c>
      <c r="H36" s="200">
        <f>VLOOKUP($A36,[0]!Data,72,FALSE)</f>
        <v>67152</v>
      </c>
      <c r="I36" s="158">
        <f>VLOOKUP($A36,[0]!Data,75,FALSE)</f>
        <v>39922</v>
      </c>
      <c r="J36" s="158">
        <f>VLOOKUP($A36,[0]!Data,83,FALSE)</f>
        <v>63560</v>
      </c>
      <c r="K36" s="158">
        <f>VLOOKUP($A36,[0]!Data,79,FALSE)</f>
        <v>44606</v>
      </c>
      <c r="L36" s="158">
        <f>VLOOKUP($A36,[0]!Data,87,FALSE)</f>
        <v>0</v>
      </c>
      <c r="M36" s="159">
        <f>VLOOKUP($A36,[0]!Data,91,FALSE)</f>
        <v>44583</v>
      </c>
      <c r="N36" s="158">
        <f>VLOOKUP(A36,[0]!Data,102,FALSE)</f>
        <v>0</v>
      </c>
      <c r="O36" s="158">
        <f>VLOOKUP($A36,[0]!Data,98,FALSE)</f>
        <v>0</v>
      </c>
      <c r="P36" s="158">
        <f>VLOOKUP($A36,[0]!Data,106,FALSE)</f>
        <v>51028</v>
      </c>
      <c r="Q36" s="159">
        <f>VLOOKUP($A36,[0]!Data,110,FALSE)</f>
        <v>0</v>
      </c>
    </row>
    <row r="37" spans="1:17" s="16" customFormat="1" x14ac:dyDescent="0.25">
      <c r="A37" s="40" t="s">
        <v>1585</v>
      </c>
      <c r="B37" s="40" t="s">
        <v>1316</v>
      </c>
      <c r="C37" s="158">
        <f>'Table 1'!D37/VLOOKUP(A37,[0]!Data,139,FALSE)</f>
        <v>0.16175841028051074</v>
      </c>
      <c r="D37" s="158">
        <f>VLOOKUP(A37,[0]!Data,139,FALSE)/VLOOKUP(A37,[0]!Data,66,FALSE)</f>
        <v>40429</v>
      </c>
      <c r="E37" s="200">
        <f>VLOOKUP($A37,[0]!Data,69,FALSE)</f>
        <v>64297</v>
      </c>
      <c r="F37" s="158" t="s">
        <v>2222</v>
      </c>
      <c r="G37" s="158" t="s">
        <v>2223</v>
      </c>
      <c r="H37" s="200">
        <f>VLOOKUP($A37,[0]!Data,72,FALSE)</f>
        <v>0</v>
      </c>
      <c r="I37" s="158">
        <f>VLOOKUP($A37,[0]!Data,75,FALSE)</f>
        <v>0</v>
      </c>
      <c r="J37" s="158">
        <f>VLOOKUP($A37,[0]!Data,83,FALSE)</f>
        <v>43054</v>
      </c>
      <c r="K37" s="158">
        <f>VLOOKUP($A37,[0]!Data,79,FALSE)</f>
        <v>39564</v>
      </c>
      <c r="L37" s="158">
        <f>VLOOKUP($A37,[0]!Data,87,FALSE)</f>
        <v>0</v>
      </c>
      <c r="M37" s="159">
        <f>VLOOKUP($A37,[0]!Data,91,FALSE)</f>
        <v>0</v>
      </c>
      <c r="N37" s="158">
        <f>VLOOKUP(A37,[0]!Data,102,FALSE)</f>
        <v>43054</v>
      </c>
      <c r="O37" s="158">
        <f>VLOOKUP($A37,[0]!Data,98,FALSE)</f>
        <v>39564</v>
      </c>
      <c r="P37" s="158">
        <f>VLOOKUP($A37,[0]!Data,106,FALSE)</f>
        <v>0</v>
      </c>
      <c r="Q37" s="159">
        <f>VLOOKUP($A37,[0]!Data,110,FALSE)</f>
        <v>0</v>
      </c>
    </row>
    <row r="38" spans="1:17" s="16" customFormat="1" x14ac:dyDescent="0.25">
      <c r="A38" s="40" t="s">
        <v>1352</v>
      </c>
      <c r="B38" s="40" t="s">
        <v>1955</v>
      </c>
      <c r="C38" s="158">
        <f>'Table 1'!D38/VLOOKUP(A38,[0]!Data,139,FALSE)</f>
        <v>0.13374812620780582</v>
      </c>
      <c r="D38" s="158">
        <f>VLOOKUP(A38,[0]!Data,139,FALSE)/VLOOKUP(A38,[0]!Data,66,FALSE)</f>
        <v>55369</v>
      </c>
      <c r="E38" s="200">
        <f>VLOOKUP($A38,[0]!Data,69,FALSE)</f>
        <v>67500</v>
      </c>
      <c r="F38" s="158" t="s">
        <v>2224</v>
      </c>
      <c r="G38" s="158" t="s">
        <v>2206</v>
      </c>
      <c r="H38" s="200">
        <f>VLOOKUP($A38,[0]!Data,72,FALSE)</f>
        <v>0</v>
      </c>
      <c r="I38" s="158">
        <f>VLOOKUP($A38,[0]!Data,75,FALSE)</f>
        <v>0</v>
      </c>
      <c r="J38" s="158">
        <f>VLOOKUP($A38,[0]!Data,83,FALSE)</f>
        <v>0</v>
      </c>
      <c r="K38" s="158">
        <f>VLOOKUP($A38,[0]!Data,79,FALSE)</f>
        <v>0</v>
      </c>
      <c r="L38" s="158">
        <f>VLOOKUP($A38,[0]!Data,87,FALSE)</f>
        <v>0</v>
      </c>
      <c r="M38" s="159">
        <f>VLOOKUP($A38,[0]!Data,91,FALSE)</f>
        <v>0</v>
      </c>
      <c r="N38" s="158">
        <f>VLOOKUP(A38,[0]!Data,102,FALSE)</f>
        <v>0</v>
      </c>
      <c r="O38" s="158">
        <f>VLOOKUP($A38,[0]!Data,98,FALSE)</f>
        <v>0</v>
      </c>
      <c r="P38" s="158">
        <f>VLOOKUP($A38,[0]!Data,106,FALSE)</f>
        <v>41538</v>
      </c>
      <c r="Q38" s="159">
        <f>VLOOKUP($A38,[0]!Data,110,FALSE)</f>
        <v>38725</v>
      </c>
    </row>
    <row r="39" spans="1:17" s="16" customFormat="1" x14ac:dyDescent="0.25">
      <c r="A39" s="40" t="s">
        <v>1365</v>
      </c>
      <c r="B39" s="40" t="s">
        <v>1956</v>
      </c>
      <c r="C39" s="158">
        <f>'Table 1'!D39/VLOOKUP(A39,[0]!Data,139,FALSE)</f>
        <v>0.10618292618207188</v>
      </c>
      <c r="D39" s="158">
        <f>VLOOKUP(A39,[0]!Data,139,FALSE)/VLOOKUP(A39,[0]!Data,66,FALSE)</f>
        <v>35116.5</v>
      </c>
      <c r="E39" s="200">
        <f>VLOOKUP($A39,[0]!Data,69,FALSE)</f>
        <v>80662</v>
      </c>
      <c r="F39" s="158" t="s">
        <v>2225</v>
      </c>
      <c r="G39" s="158" t="s">
        <v>2226</v>
      </c>
      <c r="H39" s="200">
        <f>VLOOKUP($A39,[0]!Data,72,FALSE)</f>
        <v>0</v>
      </c>
      <c r="I39" s="158">
        <f>VLOOKUP($A39,[0]!Data,75,FALSE)</f>
        <v>41136</v>
      </c>
      <c r="J39" s="158">
        <f>VLOOKUP($A39,[0]!Data,83,FALSE)</f>
        <v>0</v>
      </c>
      <c r="K39" s="158">
        <f>VLOOKUP($A39,[0]!Data,79,FALSE)</f>
        <v>0</v>
      </c>
      <c r="L39" s="158">
        <f>VLOOKUP($A39,[0]!Data,87,FALSE)</f>
        <v>39000</v>
      </c>
      <c r="M39" s="159">
        <f>VLOOKUP($A39,[0]!Data,91,FALSE)</f>
        <v>0</v>
      </c>
      <c r="N39" s="158">
        <f>VLOOKUP(A39,[0]!Data,102,FALSE)</f>
        <v>0</v>
      </c>
      <c r="O39" s="158">
        <f>VLOOKUP($A39,[0]!Data,98,FALSE)</f>
        <v>0</v>
      </c>
      <c r="P39" s="158">
        <f>VLOOKUP($A39,[0]!Data,106,FALSE)</f>
        <v>0</v>
      </c>
      <c r="Q39" s="159">
        <f>VLOOKUP($A39,[0]!Data,110,FALSE)</f>
        <v>0</v>
      </c>
    </row>
    <row r="40" spans="1:17" s="16" customFormat="1" x14ac:dyDescent="0.25">
      <c r="A40" s="40" t="s">
        <v>1383</v>
      </c>
      <c r="B40" s="40" t="s">
        <v>1957</v>
      </c>
      <c r="C40" s="158">
        <f>'Table 1'!D40/VLOOKUP(A40,[0]!Data,139,FALSE)</f>
        <v>7.1011327435915664E-2</v>
      </c>
      <c r="D40" s="158">
        <f>VLOOKUP(A40,[0]!Data,139,FALSE)/VLOOKUP(A40,[0]!Data,66,FALSE)</f>
        <v>26613.413585554597</v>
      </c>
      <c r="E40" s="200">
        <f>VLOOKUP($A40,[0]!Data,69,FALSE)</f>
        <v>51250</v>
      </c>
      <c r="F40" s="158" t="s">
        <v>1898</v>
      </c>
      <c r="G40" s="158" t="s">
        <v>2188</v>
      </c>
      <c r="H40" s="200">
        <f>VLOOKUP($A40,[0]!Data,72,FALSE)</f>
        <v>0</v>
      </c>
      <c r="I40" s="158">
        <f>VLOOKUP($A40,[0]!Data,75,FALSE)</f>
        <v>22496</v>
      </c>
      <c r="J40" s="158">
        <f>VLOOKUP($A40,[0]!Data,83,FALSE)</f>
        <v>0</v>
      </c>
      <c r="K40" s="158">
        <f>VLOOKUP($A40,[0]!Data,79,FALSE)</f>
        <v>22496</v>
      </c>
      <c r="L40" s="158">
        <f>VLOOKUP($A40,[0]!Data,87,FALSE)</f>
        <v>0</v>
      </c>
      <c r="M40" s="159">
        <f>VLOOKUP($A40,[0]!Data,91,FALSE)</f>
        <v>0</v>
      </c>
      <c r="N40" s="158">
        <f>VLOOKUP(A40,[0]!Data,102,FALSE)</f>
        <v>0</v>
      </c>
      <c r="O40" s="158">
        <f>VLOOKUP($A40,[0]!Data,98,FALSE)</f>
        <v>0</v>
      </c>
      <c r="P40" s="158">
        <f>VLOOKUP($A40,[0]!Data,106,FALSE)</f>
        <v>17410</v>
      </c>
      <c r="Q40" s="159">
        <f>VLOOKUP($A40,[0]!Data,110,FALSE)</f>
        <v>0</v>
      </c>
    </row>
    <row r="41" spans="1:17" s="16" customFormat="1" x14ac:dyDescent="0.25">
      <c r="A41" s="40" t="s">
        <v>1397</v>
      </c>
      <c r="B41" s="40" t="s">
        <v>1958</v>
      </c>
      <c r="C41" s="158">
        <f>'Table 1'!D41/VLOOKUP(A41,[0]!Data,139,FALSE)</f>
        <v>8.7484405246373076E-2</v>
      </c>
      <c r="D41" s="158">
        <f>VLOOKUP(A41,[0]!Data,139,FALSE)/VLOOKUP(A41,[0]!Data,66,FALSE)</f>
        <v>26745.861182519282</v>
      </c>
      <c r="E41" s="200">
        <f>VLOOKUP($A41,[0]!Data,69,FALSE)</f>
        <v>57456</v>
      </c>
      <c r="F41" s="158" t="s">
        <v>2190</v>
      </c>
      <c r="G41" s="158" t="s">
        <v>2181</v>
      </c>
      <c r="H41" s="200">
        <f>VLOOKUP($A41,[0]!Data,72,FALSE)</f>
        <v>0</v>
      </c>
      <c r="I41" s="158">
        <f>VLOOKUP($A41,[0]!Data,75,FALSE)</f>
        <v>34092</v>
      </c>
      <c r="J41" s="158">
        <f>VLOOKUP($A41,[0]!Data,83,FALSE)</f>
        <v>0</v>
      </c>
      <c r="K41" s="158">
        <f>VLOOKUP($A41,[0]!Data,79,FALSE)</f>
        <v>34518</v>
      </c>
      <c r="L41" s="158">
        <f>VLOOKUP($A41,[0]!Data,87,FALSE)</f>
        <v>37200</v>
      </c>
      <c r="M41" s="159">
        <f>VLOOKUP($A41,[0]!Data,91,FALSE)</f>
        <v>0</v>
      </c>
      <c r="N41" s="158">
        <f>VLOOKUP(A41,[0]!Data,102,FALSE)</f>
        <v>21528</v>
      </c>
      <c r="O41" s="158">
        <f>VLOOKUP($A41,[0]!Data,98,FALSE)</f>
        <v>23778</v>
      </c>
      <c r="P41" s="158">
        <f>VLOOKUP($A41,[0]!Data,106,FALSE)</f>
        <v>0</v>
      </c>
      <c r="Q41" s="159">
        <f>VLOOKUP($A41,[0]!Data,110,FALSE)</f>
        <v>0</v>
      </c>
    </row>
    <row r="42" spans="1:17" s="16" customFormat="1" x14ac:dyDescent="0.25">
      <c r="A42" s="40" t="s">
        <v>915</v>
      </c>
      <c r="B42" s="40" t="s">
        <v>1959</v>
      </c>
      <c r="C42" s="158">
        <f>'Table 1'!D42/VLOOKUP(A42,[0]!Data,139,FALSE)</f>
        <v>4.0306828411997536E-2</v>
      </c>
      <c r="D42" s="158">
        <f>VLOOKUP(A42,[0]!Data,139,FALSE)/VLOOKUP(A42,[0]!Data,66,FALSE)</f>
        <v>62340.505151688616</v>
      </c>
      <c r="E42" s="200">
        <f>VLOOKUP($A42,[0]!Data,69,FALSE)</f>
        <v>173855</v>
      </c>
      <c r="F42" s="158" t="s">
        <v>2227</v>
      </c>
      <c r="G42" s="158" t="s">
        <v>2179</v>
      </c>
      <c r="H42" s="200">
        <f>VLOOKUP($A42,[0]!Data,72,FALSE)</f>
        <v>86813</v>
      </c>
      <c r="I42" s="158">
        <f>VLOOKUP($A42,[0]!Data,75,FALSE)</f>
        <v>74784</v>
      </c>
      <c r="J42" s="158">
        <f>VLOOKUP($A42,[0]!Data,83,FALSE)</f>
        <v>71725</v>
      </c>
      <c r="K42" s="158">
        <f>VLOOKUP($A42,[0]!Data,79,FALSE)</f>
        <v>74963</v>
      </c>
      <c r="L42" s="158">
        <f>VLOOKUP($A42,[0]!Data,87,FALSE)</f>
        <v>69442</v>
      </c>
      <c r="M42" s="159">
        <f>VLOOKUP($A42,[0]!Data,91,FALSE)</f>
        <v>0</v>
      </c>
      <c r="N42" s="158">
        <f>VLOOKUP(A42,[0]!Data,102,FALSE)</f>
        <v>55651</v>
      </c>
      <c r="O42" s="158">
        <f>VLOOKUP($A42,[0]!Data,98,FALSE)</f>
        <v>55255</v>
      </c>
      <c r="P42" s="158">
        <f>VLOOKUP($A42,[0]!Data,106,FALSE)</f>
        <v>65664</v>
      </c>
      <c r="Q42" s="159">
        <f>VLOOKUP($A42,[0]!Data,110,FALSE)</f>
        <v>0</v>
      </c>
    </row>
    <row r="43" spans="1:17" s="16" customFormat="1" x14ac:dyDescent="0.25">
      <c r="A43" s="40" t="s">
        <v>789</v>
      </c>
      <c r="B43" s="40" t="s">
        <v>1960</v>
      </c>
      <c r="C43" s="158">
        <f>'Table 1'!D43/VLOOKUP(A43,[0]!Data,139,FALSE)</f>
        <v>6.6619012299756419E-2</v>
      </c>
      <c r="D43" s="158">
        <f>VLOOKUP(A43,[0]!Data,139,FALSE)/VLOOKUP(A43,[0]!Data,66,FALSE)</f>
        <v>51256.010719754973</v>
      </c>
      <c r="E43" s="200">
        <f>VLOOKUP($A43,[0]!Data,69,FALSE)</f>
        <v>76600</v>
      </c>
      <c r="F43" s="158" t="s">
        <v>2190</v>
      </c>
      <c r="G43" s="158" t="s">
        <v>2188</v>
      </c>
      <c r="H43" s="200">
        <f>VLOOKUP($A43,[0]!Data,72,FALSE)</f>
        <v>65063</v>
      </c>
      <c r="I43" s="158">
        <f>VLOOKUP($A43,[0]!Data,75,FALSE)</f>
        <v>0</v>
      </c>
      <c r="J43" s="158">
        <f>VLOOKUP($A43,[0]!Data,83,FALSE)</f>
        <v>48853</v>
      </c>
      <c r="K43" s="158">
        <f>VLOOKUP($A43,[0]!Data,79,FALSE)</f>
        <v>52087</v>
      </c>
      <c r="L43" s="158">
        <f>VLOOKUP($A43,[0]!Data,87,FALSE)</f>
        <v>43860</v>
      </c>
      <c r="M43" s="159">
        <f>VLOOKUP($A43,[0]!Data,91,FALSE)</f>
        <v>0</v>
      </c>
      <c r="N43" s="158">
        <f>VLOOKUP(A43,[0]!Data,102,FALSE)</f>
        <v>37867</v>
      </c>
      <c r="O43" s="158">
        <f>VLOOKUP($A43,[0]!Data,98,FALSE)</f>
        <v>43291</v>
      </c>
      <c r="P43" s="158">
        <f>VLOOKUP($A43,[0]!Data,106,FALSE)</f>
        <v>0</v>
      </c>
      <c r="Q43" s="159">
        <f>VLOOKUP($A43,[0]!Data,110,FALSE)</f>
        <v>0</v>
      </c>
    </row>
    <row r="44" spans="1:17" s="16" customFormat="1" x14ac:dyDescent="0.25">
      <c r="A44" s="40" t="s">
        <v>1456</v>
      </c>
      <c r="B44" s="40" t="s">
        <v>1961</v>
      </c>
      <c r="C44" s="158">
        <f>'Table 1'!D44/VLOOKUP(A44,[0]!Data,139,FALSE)</f>
        <v>7.237059929839279E-2</v>
      </c>
      <c r="D44" s="158">
        <f>VLOOKUP(A44,[0]!Data,139,FALSE)/VLOOKUP(A44,[0]!Data,66,FALSE)</f>
        <v>67168.760869565216</v>
      </c>
      <c r="E44" s="200">
        <f>VLOOKUP($A44,[0]!Data,69,FALSE)</f>
        <v>117908</v>
      </c>
      <c r="F44" s="158" t="s">
        <v>2228</v>
      </c>
      <c r="G44" s="158" t="s">
        <v>2201</v>
      </c>
      <c r="H44" s="200">
        <f>VLOOKUP($A44,[0]!Data,72,FALSE)</f>
        <v>84571</v>
      </c>
      <c r="I44" s="158">
        <f>VLOOKUP($A44,[0]!Data,75,FALSE)</f>
        <v>71242</v>
      </c>
      <c r="J44" s="158">
        <f>VLOOKUP($A44,[0]!Data,83,FALSE)</f>
        <v>59749</v>
      </c>
      <c r="K44" s="158">
        <f>VLOOKUP($A44,[0]!Data,79,FALSE)</f>
        <v>60023</v>
      </c>
      <c r="L44" s="158">
        <f>VLOOKUP($A44,[0]!Data,87,FALSE)</f>
        <v>58294</v>
      </c>
      <c r="M44" s="159">
        <f>VLOOKUP($A44,[0]!Data,91,FALSE)</f>
        <v>62912</v>
      </c>
      <c r="N44" s="158">
        <f>VLOOKUP(A44,[0]!Data,102,FALSE)</f>
        <v>58355</v>
      </c>
      <c r="O44" s="158">
        <f>VLOOKUP($A44,[0]!Data,98,FALSE)</f>
        <v>53819</v>
      </c>
      <c r="P44" s="158">
        <f>VLOOKUP($A44,[0]!Data,106,FALSE)</f>
        <v>0</v>
      </c>
      <c r="Q44" s="159">
        <f>VLOOKUP($A44,[0]!Data,110,FALSE)</f>
        <v>0</v>
      </c>
    </row>
    <row r="45" spans="1:17" s="16" customFormat="1" x14ac:dyDescent="0.25">
      <c r="A45" s="40" t="s">
        <v>1489</v>
      </c>
      <c r="B45" s="40" t="s">
        <v>1962</v>
      </c>
      <c r="C45" s="158">
        <f>'Table 1'!D45/VLOOKUP(A45,[0]!Data,139,FALSE)</f>
        <v>0.12489051132499331</v>
      </c>
      <c r="D45" s="158">
        <f>VLOOKUP(A45,[0]!Data,139,FALSE)/VLOOKUP(A45,[0]!Data,66,FALSE)</f>
        <v>45004.985507246376</v>
      </c>
      <c r="E45" s="200">
        <f>VLOOKUP($A45,[0]!Data,69,FALSE)</f>
        <v>97469</v>
      </c>
      <c r="F45" s="158" t="s">
        <v>2229</v>
      </c>
      <c r="G45" s="158" t="s">
        <v>2217</v>
      </c>
      <c r="H45" s="200">
        <f>VLOOKUP($A45,[0]!Data,72,FALSE)</f>
        <v>0</v>
      </c>
      <c r="I45" s="158">
        <f>VLOOKUP($A45,[0]!Data,75,FALSE)</f>
        <v>0</v>
      </c>
      <c r="J45" s="158">
        <f>VLOOKUP($A45,[0]!Data,83,FALSE)</f>
        <v>0</v>
      </c>
      <c r="K45" s="158">
        <f>VLOOKUP($A45,[0]!Data,79,FALSE)</f>
        <v>0</v>
      </c>
      <c r="L45" s="158">
        <f>VLOOKUP($A45,[0]!Data,87,FALSE)</f>
        <v>0</v>
      </c>
      <c r="M45" s="159">
        <f>VLOOKUP($A45,[0]!Data,91,FALSE)</f>
        <v>0</v>
      </c>
      <c r="N45" s="158">
        <f>VLOOKUP(A45,[0]!Data,102,FALSE)</f>
        <v>0</v>
      </c>
      <c r="O45" s="158">
        <f>VLOOKUP($A45,[0]!Data,98,FALSE)</f>
        <v>0</v>
      </c>
      <c r="P45" s="158">
        <f>VLOOKUP($A45,[0]!Data,106,FALSE)</f>
        <v>0</v>
      </c>
      <c r="Q45" s="159">
        <f>VLOOKUP($A45,[0]!Data,110,FALSE)</f>
        <v>0</v>
      </c>
    </row>
    <row r="46" spans="1:17" s="16" customFormat="1" x14ac:dyDescent="0.25">
      <c r="A46" s="40" t="s">
        <v>1501</v>
      </c>
      <c r="B46" s="40" t="s">
        <v>1516</v>
      </c>
      <c r="C46" s="158">
        <f>'Table 1'!D46/VLOOKUP(A46,[0]!Data,139,FALSE)</f>
        <v>4.5813872467365624E-2</v>
      </c>
      <c r="D46" s="158">
        <f>VLOOKUP(A46,[0]!Data,139,FALSE)/VLOOKUP(A46,[0]!Data,66,FALSE)</f>
        <v>75659.802306425045</v>
      </c>
      <c r="E46" s="200">
        <f>VLOOKUP($A46,[0]!Data,69,FALSE)</f>
        <v>96933</v>
      </c>
      <c r="F46" s="158" t="s">
        <v>2230</v>
      </c>
      <c r="G46" s="158" t="s">
        <v>2226</v>
      </c>
      <c r="H46" s="200">
        <f>VLOOKUP($A46,[0]!Data,72,FALSE)</f>
        <v>71308</v>
      </c>
      <c r="I46" s="158">
        <f>VLOOKUP($A46,[0]!Data,75,FALSE)</f>
        <v>0</v>
      </c>
      <c r="J46" s="158">
        <f>VLOOKUP($A46,[0]!Data,83,FALSE)</f>
        <v>54302</v>
      </c>
      <c r="K46" s="158">
        <f>VLOOKUP($A46,[0]!Data,79,FALSE)</f>
        <v>56560</v>
      </c>
      <c r="L46" s="158">
        <f>VLOOKUP($A46,[0]!Data,87,FALSE)</f>
        <v>69101</v>
      </c>
      <c r="M46" s="159">
        <f>VLOOKUP($A46,[0]!Data,91,FALSE)</f>
        <v>47951</v>
      </c>
      <c r="N46" s="158">
        <f>VLOOKUP(A46,[0]!Data,102,FALSE)</f>
        <v>49718</v>
      </c>
      <c r="O46" s="158">
        <f>VLOOKUP($A46,[0]!Data,98,FALSE)</f>
        <v>49359</v>
      </c>
      <c r="P46" s="158">
        <f>VLOOKUP($A46,[0]!Data,106,FALSE)</f>
        <v>48555</v>
      </c>
      <c r="Q46" s="159">
        <f>VLOOKUP($A46,[0]!Data,110,FALSE)</f>
        <v>0</v>
      </c>
    </row>
    <row r="47" spans="1:17" s="16" customFormat="1" x14ac:dyDescent="0.25">
      <c r="A47" s="40" t="s">
        <v>1518</v>
      </c>
      <c r="B47" s="40" t="s">
        <v>1963</v>
      </c>
      <c r="C47" s="158">
        <f>'Table 1'!D47/VLOOKUP(A47,[0]!Data,139,FALSE)</f>
        <v>9.5494068860957917E-2</v>
      </c>
      <c r="D47" s="158">
        <f>VLOOKUP(A47,[0]!Data,139,FALSE)/VLOOKUP(A47,[0]!Data,66,FALSE)</f>
        <v>48644.21875</v>
      </c>
      <c r="E47" s="200">
        <f>VLOOKUP($A47,[0]!Data,69,FALSE)</f>
        <v>73538</v>
      </c>
      <c r="F47" s="158" t="s">
        <v>2231</v>
      </c>
      <c r="G47" s="158" t="s">
        <v>2232</v>
      </c>
      <c r="H47" s="200">
        <f>VLOOKUP($A47,[0]!Data,72,FALSE)</f>
        <v>0</v>
      </c>
      <c r="I47" s="158">
        <f>VLOOKUP($A47,[0]!Data,75,FALSE)</f>
        <v>0</v>
      </c>
      <c r="J47" s="158">
        <f>VLOOKUP($A47,[0]!Data,83,FALSE)</f>
        <v>0</v>
      </c>
      <c r="K47" s="158">
        <f>VLOOKUP($A47,[0]!Data,79,FALSE)</f>
        <v>0</v>
      </c>
      <c r="L47" s="158">
        <f>VLOOKUP($A47,[0]!Data,87,FALSE)</f>
        <v>62698</v>
      </c>
      <c r="M47" s="159">
        <f>VLOOKUP($A47,[0]!Data,91,FALSE)</f>
        <v>0</v>
      </c>
      <c r="N47" s="158">
        <f>VLOOKUP(A47,[0]!Data,102,FALSE)</f>
        <v>0</v>
      </c>
      <c r="O47" s="158">
        <f>VLOOKUP($A47,[0]!Data,98,FALSE)</f>
        <v>0</v>
      </c>
      <c r="P47" s="158">
        <f>VLOOKUP($A47,[0]!Data,106,FALSE)</f>
        <v>0</v>
      </c>
      <c r="Q47" s="159">
        <f>VLOOKUP($A47,[0]!Data,110,FALSE)</f>
        <v>0</v>
      </c>
    </row>
    <row r="48" spans="1:17" s="16" customFormat="1" x14ac:dyDescent="0.25">
      <c r="A48" s="40" t="s">
        <v>1544</v>
      </c>
      <c r="B48" s="40" t="s">
        <v>1964</v>
      </c>
      <c r="C48" s="158">
        <f>'Table 1'!D48/VLOOKUP(A48,[0]!Data,139,FALSE)</f>
        <v>9.453870499488376E-2</v>
      </c>
      <c r="D48" s="158">
        <f>VLOOKUP(A48,[0]!Data,139,FALSE)/VLOOKUP(A48,[0]!Data,66,FALSE)</f>
        <v>60032.857142857145</v>
      </c>
      <c r="E48" s="200">
        <f>VLOOKUP($A48,[0]!Data,69,FALSE)</f>
        <v>61169</v>
      </c>
      <c r="F48" s="158" t="s">
        <v>1896</v>
      </c>
      <c r="G48" s="158" t="s">
        <v>2177</v>
      </c>
      <c r="H48" s="200">
        <f>VLOOKUP($A48,[0]!Data,72,FALSE)</f>
        <v>42221</v>
      </c>
      <c r="I48" s="158">
        <f>VLOOKUP($A48,[0]!Data,75,FALSE)</f>
        <v>0</v>
      </c>
      <c r="J48" s="158">
        <f>VLOOKUP($A48,[0]!Data,83,FALSE)</f>
        <v>0</v>
      </c>
      <c r="K48" s="158">
        <f>VLOOKUP($A48,[0]!Data,79,FALSE)</f>
        <v>0</v>
      </c>
      <c r="L48" s="158">
        <f>VLOOKUP($A48,[0]!Data,87,FALSE)</f>
        <v>0</v>
      </c>
      <c r="M48" s="159">
        <f>VLOOKUP($A48,[0]!Data,91,FALSE)</f>
        <v>0</v>
      </c>
      <c r="N48" s="158">
        <f>VLOOKUP(A48,[0]!Data,102,FALSE)</f>
        <v>40017</v>
      </c>
      <c r="O48" s="158">
        <f>VLOOKUP($A48,[0]!Data,98,FALSE)</f>
        <v>40017</v>
      </c>
      <c r="P48" s="158">
        <f>VLOOKUP($A48,[0]!Data,106,FALSE)</f>
        <v>35170</v>
      </c>
      <c r="Q48" s="159">
        <f>VLOOKUP($A48,[0]!Data,110,FALSE)</f>
        <v>0</v>
      </c>
    </row>
    <row r="49" spans="1:17" s="16" customFormat="1" x14ac:dyDescent="0.25">
      <c r="A49" s="40" t="s">
        <v>1727</v>
      </c>
      <c r="B49" s="40" t="s">
        <v>1965</v>
      </c>
      <c r="C49" s="158">
        <f>'Table 1'!D49/VLOOKUP(A49,[0]!Data,139,FALSE)</f>
        <v>0.11690972928755498</v>
      </c>
      <c r="D49" s="158">
        <f>VLOOKUP(A49,[0]!Data,139,FALSE)/VLOOKUP(A49,[0]!Data,66,FALSE)</f>
        <v>40896.565205249928</v>
      </c>
      <c r="E49" s="200">
        <f>VLOOKUP($A49,[0]!Data,69,FALSE)</f>
        <v>105768</v>
      </c>
      <c r="F49" s="158" t="s">
        <v>2233</v>
      </c>
      <c r="G49" s="158" t="s">
        <v>2177</v>
      </c>
      <c r="H49" s="200">
        <f>VLOOKUP($A49,[0]!Data,72,FALSE)</f>
        <v>0</v>
      </c>
      <c r="I49" s="158">
        <f>VLOOKUP($A49,[0]!Data,75,FALSE)</f>
        <v>39573</v>
      </c>
      <c r="J49" s="158">
        <f>VLOOKUP($A49,[0]!Data,83,FALSE)</f>
        <v>75816</v>
      </c>
      <c r="K49" s="158">
        <f>VLOOKUP($A49,[0]!Data,79,FALSE)</f>
        <v>63378</v>
      </c>
      <c r="L49" s="158">
        <f>VLOOKUP($A49,[0]!Data,87,FALSE)</f>
        <v>75816</v>
      </c>
      <c r="M49" s="159">
        <f>VLOOKUP($A49,[0]!Data,91,FALSE)</f>
        <v>0</v>
      </c>
      <c r="N49" s="158">
        <f>VLOOKUP(A49,[0]!Data,102,FALSE)</f>
        <v>0</v>
      </c>
      <c r="O49" s="158">
        <f>VLOOKUP($A49,[0]!Data,98,FALSE)</f>
        <v>42286</v>
      </c>
      <c r="P49" s="158">
        <f>VLOOKUP($A49,[0]!Data,106,FALSE)</f>
        <v>0</v>
      </c>
      <c r="Q49" s="159">
        <f>VLOOKUP($A49,[0]!Data,110,FALSE)</f>
        <v>28766</v>
      </c>
    </row>
    <row r="50" spans="1:17" s="16" customFormat="1" x14ac:dyDescent="0.25">
      <c r="A50" s="40" t="s">
        <v>1573</v>
      </c>
      <c r="B50" s="40" t="s">
        <v>1966</v>
      </c>
      <c r="C50" s="158">
        <f>'Table 1'!D50/VLOOKUP(A50,[0]!Data,139,FALSE)</f>
        <v>5.2262210669145166E-2</v>
      </c>
      <c r="D50" s="158">
        <f>VLOOKUP(A50,[0]!Data,139,FALSE)/VLOOKUP(A50,[0]!Data,66,FALSE)</f>
        <v>37397.211895910783</v>
      </c>
      <c r="E50" s="200">
        <f>VLOOKUP($A50,[0]!Data,69,FALSE)</f>
        <v>56292</v>
      </c>
      <c r="F50" s="158" t="s">
        <v>1897</v>
      </c>
      <c r="G50" s="158" t="s">
        <v>2188</v>
      </c>
      <c r="H50" s="200">
        <f>VLOOKUP($A50,[0]!Data,72,FALSE)</f>
        <v>0</v>
      </c>
      <c r="I50" s="158">
        <f>VLOOKUP($A50,[0]!Data,75,FALSE)</f>
        <v>29091</v>
      </c>
      <c r="J50" s="158">
        <f>VLOOKUP($A50,[0]!Data,83,FALSE)</f>
        <v>0</v>
      </c>
      <c r="K50" s="158">
        <f>VLOOKUP($A50,[0]!Data,79,FALSE)</f>
        <v>29058</v>
      </c>
      <c r="L50" s="158">
        <f>VLOOKUP($A50,[0]!Data,87,FALSE)</f>
        <v>29058</v>
      </c>
      <c r="M50" s="159">
        <f>VLOOKUP($A50,[0]!Data,91,FALSE)</f>
        <v>27014</v>
      </c>
      <c r="N50" s="158">
        <f>VLOOKUP(A50,[0]!Data,102,FALSE)</f>
        <v>0</v>
      </c>
      <c r="O50" s="158">
        <f>VLOOKUP($A50,[0]!Data,98,FALSE)</f>
        <v>0</v>
      </c>
      <c r="P50" s="158">
        <f>VLOOKUP($A50,[0]!Data,106,FALSE)</f>
        <v>0</v>
      </c>
      <c r="Q50" s="159">
        <f>VLOOKUP($A50,[0]!Data,110,FALSE)</f>
        <v>0</v>
      </c>
    </row>
    <row r="51" spans="1:17" s="16" customFormat="1" x14ac:dyDescent="0.25">
      <c r="A51" s="40" t="s">
        <v>1597</v>
      </c>
      <c r="B51" s="40" t="s">
        <v>1967</v>
      </c>
      <c r="C51" s="158">
        <f>'Table 1'!D51/VLOOKUP(A51,[0]!Data,139,FALSE)</f>
        <v>6.6365001272333371E-2</v>
      </c>
      <c r="D51" s="158">
        <f>VLOOKUP(A51,[0]!Data,139,FALSE)/VLOOKUP(A51,[0]!Data,66,FALSE)</f>
        <v>49267.645051194537</v>
      </c>
      <c r="E51" s="200">
        <f>VLOOKUP($A51,[0]!Data,69,FALSE)</f>
        <v>73011</v>
      </c>
      <c r="F51" s="158" t="s">
        <v>2234</v>
      </c>
      <c r="G51" s="158" t="s">
        <v>2179</v>
      </c>
      <c r="H51" s="200">
        <f>VLOOKUP($A51,[0]!Data,72,FALSE)</f>
        <v>61259</v>
      </c>
      <c r="I51" s="158">
        <f>VLOOKUP($A51,[0]!Data,75,FALSE)</f>
        <v>47353</v>
      </c>
      <c r="J51" s="158">
        <f>VLOOKUP($A51,[0]!Data,83,FALSE)</f>
        <v>43494</v>
      </c>
      <c r="K51" s="158">
        <f>VLOOKUP($A51,[0]!Data,79,FALSE)</f>
        <v>42205</v>
      </c>
      <c r="L51" s="158">
        <f>VLOOKUP($A51,[0]!Data,87,FALSE)</f>
        <v>44805</v>
      </c>
      <c r="M51" s="159">
        <f>VLOOKUP($A51,[0]!Data,91,FALSE)</f>
        <v>0</v>
      </c>
      <c r="N51" s="158">
        <f>VLOOKUP(A51,[0]!Data,102,FALSE)</f>
        <v>43505</v>
      </c>
      <c r="O51" s="158">
        <f>VLOOKUP($A51,[0]!Data,98,FALSE)</f>
        <v>40166</v>
      </c>
      <c r="P51" s="158">
        <f>VLOOKUP($A51,[0]!Data,106,FALSE)</f>
        <v>0</v>
      </c>
      <c r="Q51" s="159">
        <f>VLOOKUP($A51,[0]!Data,110,FALSE)</f>
        <v>0</v>
      </c>
    </row>
    <row r="52" spans="1:17" s="16" customFormat="1" x14ac:dyDescent="0.25">
      <c r="A52" s="40" t="s">
        <v>1625</v>
      </c>
      <c r="B52" s="40" t="s">
        <v>1968</v>
      </c>
      <c r="C52" s="158">
        <f>'Table 1'!D52/VLOOKUP(A52,[0]!Data,139,FALSE)</f>
        <v>0.16693344407112387</v>
      </c>
      <c r="D52" s="158">
        <f>VLOOKUP(A52,[0]!Data,139,FALSE)/VLOOKUP(A52,[0]!Data,66,FALSE)</f>
        <v>40033.753148614604</v>
      </c>
      <c r="E52" s="200">
        <f>VLOOKUP($A52,[0]!Data,69,FALSE)</f>
        <v>65213</v>
      </c>
      <c r="F52" s="158" t="s">
        <v>2235</v>
      </c>
      <c r="G52" s="158" t="s">
        <v>2188</v>
      </c>
      <c r="H52" s="200">
        <f>VLOOKUP($A52,[0]!Data,72,FALSE)</f>
        <v>0</v>
      </c>
      <c r="I52" s="158">
        <f>VLOOKUP($A52,[0]!Data,75,FALSE)</f>
        <v>25651</v>
      </c>
      <c r="J52" s="158">
        <f>VLOOKUP($A52,[0]!Data,83,FALSE)</f>
        <v>41000</v>
      </c>
      <c r="K52" s="158">
        <f>VLOOKUP($A52,[0]!Data,79,FALSE)</f>
        <v>39207</v>
      </c>
      <c r="L52" s="158">
        <f>VLOOKUP($A52,[0]!Data,87,FALSE)</f>
        <v>46980</v>
      </c>
      <c r="M52" s="159">
        <f>VLOOKUP($A52,[0]!Data,91,FALSE)</f>
        <v>0</v>
      </c>
      <c r="N52" s="158">
        <f>VLOOKUP(A52,[0]!Data,102,FALSE)</f>
        <v>0</v>
      </c>
      <c r="O52" s="158">
        <f>VLOOKUP($A52,[0]!Data,98,FALSE)</f>
        <v>0</v>
      </c>
      <c r="P52" s="158">
        <f>VLOOKUP($A52,[0]!Data,106,FALSE)</f>
        <v>0</v>
      </c>
      <c r="Q52" s="159">
        <f>VLOOKUP($A52,[0]!Data,110,FALSE)</f>
        <v>0</v>
      </c>
    </row>
    <row r="53" spans="1:17" s="16" customFormat="1" x14ac:dyDescent="0.25">
      <c r="A53" s="40" t="s">
        <v>1638</v>
      </c>
      <c r="B53" s="40" t="s">
        <v>1969</v>
      </c>
      <c r="C53" s="158">
        <f>'Table 1'!D53/VLOOKUP(A53,[0]!Data,139,FALSE)</f>
        <v>6.5390839262256473E-2</v>
      </c>
      <c r="D53" s="158">
        <f>VLOOKUP(A53,[0]!Data,139,FALSE)/VLOOKUP(A53,[0]!Data,66,FALSE)</f>
        <v>38712.341597796149</v>
      </c>
      <c r="E53" s="200">
        <f>VLOOKUP($A53,[0]!Data,69,FALSE)</f>
        <v>72209</v>
      </c>
      <c r="F53" s="158" t="s">
        <v>2236</v>
      </c>
      <c r="G53" s="158" t="s">
        <v>2177</v>
      </c>
      <c r="H53" s="200">
        <f>VLOOKUP($A53,[0]!Data,72,FALSE)</f>
        <v>0</v>
      </c>
      <c r="I53" s="158">
        <f>VLOOKUP($A53,[0]!Data,75,FALSE)</f>
        <v>58120</v>
      </c>
      <c r="J53" s="158">
        <f>VLOOKUP($A53,[0]!Data,83,FALSE)</f>
        <v>52716</v>
      </c>
      <c r="K53" s="158">
        <f>VLOOKUP($A53,[0]!Data,79,FALSE)</f>
        <v>52716</v>
      </c>
      <c r="L53" s="158">
        <f>VLOOKUP($A53,[0]!Data,87,FALSE)</f>
        <v>0</v>
      </c>
      <c r="M53" s="159">
        <f>VLOOKUP($A53,[0]!Data,91,FALSE)</f>
        <v>0</v>
      </c>
      <c r="N53" s="158">
        <f>VLOOKUP(A53,[0]!Data,102,FALSE)</f>
        <v>0</v>
      </c>
      <c r="O53" s="158">
        <f>VLOOKUP($A53,[0]!Data,98,FALSE)</f>
        <v>0</v>
      </c>
      <c r="P53" s="158">
        <f>VLOOKUP($A53,[0]!Data,106,FALSE)</f>
        <v>0</v>
      </c>
      <c r="Q53" s="159">
        <f>VLOOKUP($A53,[0]!Data,110,FALSE)</f>
        <v>0</v>
      </c>
    </row>
    <row r="54" spans="1:17" s="16" customFormat="1" x14ac:dyDescent="0.25">
      <c r="A54" s="40" t="s">
        <v>1655</v>
      </c>
      <c r="B54" s="40" t="s">
        <v>1970</v>
      </c>
      <c r="C54" s="158">
        <f>'Table 1'!D54/VLOOKUP(A54,[0]!Data,139,FALSE)</f>
        <v>6.62380170601541E-2</v>
      </c>
      <c r="D54" s="158">
        <f>VLOOKUP(A54,[0]!Data,139,FALSE)/VLOOKUP(A54,[0]!Data,66,FALSE)</f>
        <v>45475.085470085476</v>
      </c>
      <c r="E54" s="200">
        <f>VLOOKUP($A54,[0]!Data,69,FALSE)</f>
        <v>85739</v>
      </c>
      <c r="F54" s="158" t="s">
        <v>2237</v>
      </c>
      <c r="G54" s="158" t="s">
        <v>2186</v>
      </c>
      <c r="H54" s="200">
        <f>VLOOKUP($A54,[0]!Data,72,FALSE)</f>
        <v>61246</v>
      </c>
      <c r="I54" s="158">
        <f>VLOOKUP($A54,[0]!Data,75,FALSE)</f>
        <v>40000</v>
      </c>
      <c r="J54" s="158">
        <f>VLOOKUP($A54,[0]!Data,83,FALSE)</f>
        <v>48552</v>
      </c>
      <c r="K54" s="158">
        <f>VLOOKUP($A54,[0]!Data,79,FALSE)</f>
        <v>42251</v>
      </c>
      <c r="L54" s="158">
        <f>VLOOKUP($A54,[0]!Data,87,FALSE)</f>
        <v>44140</v>
      </c>
      <c r="M54" s="159">
        <f>VLOOKUP($A54,[0]!Data,91,FALSE)</f>
        <v>0</v>
      </c>
      <c r="N54" s="158">
        <f>VLOOKUP(A54,[0]!Data,102,FALSE)</f>
        <v>40890</v>
      </c>
      <c r="O54" s="158">
        <f>VLOOKUP($A54,[0]!Data,98,FALSE)</f>
        <v>35764</v>
      </c>
      <c r="P54" s="158">
        <f>VLOOKUP($A54,[0]!Data,106,FALSE)</f>
        <v>0</v>
      </c>
      <c r="Q54" s="159">
        <f>VLOOKUP($A54,[0]!Data,110,FALSE)</f>
        <v>0</v>
      </c>
    </row>
    <row r="55" spans="1:17" s="16" customFormat="1" x14ac:dyDescent="0.25">
      <c r="A55" s="40" t="s">
        <v>1671</v>
      </c>
      <c r="B55" s="40" t="s">
        <v>1971</v>
      </c>
      <c r="C55" s="158">
        <f>'Table 1'!D55/VLOOKUP(A55,[0]!Data,139,FALSE)</f>
        <v>0.14817254661647553</v>
      </c>
      <c r="D55" s="158">
        <f>VLOOKUP(A55,[0]!Data,139,FALSE)/VLOOKUP(A55,[0]!Data,66,FALSE)</f>
        <v>47695.198329853862</v>
      </c>
      <c r="E55" s="200">
        <f>VLOOKUP($A55,[0]!Data,69,FALSE)</f>
        <v>56871</v>
      </c>
      <c r="F55" s="158" t="s">
        <v>2190</v>
      </c>
      <c r="G55" s="158" t="s">
        <v>2181</v>
      </c>
      <c r="H55" s="200">
        <f>VLOOKUP($A55,[0]!Data,72,FALSE)</f>
        <v>0</v>
      </c>
      <c r="I55" s="158">
        <f>VLOOKUP($A55,[0]!Data,75,FALSE)</f>
        <v>31720</v>
      </c>
      <c r="J55" s="158">
        <f>VLOOKUP($A55,[0]!Data,83,FALSE)</f>
        <v>0</v>
      </c>
      <c r="K55" s="158">
        <f>VLOOKUP($A55,[0]!Data,79,FALSE)</f>
        <v>0</v>
      </c>
      <c r="L55" s="158">
        <f>VLOOKUP($A55,[0]!Data,87,FALSE)</f>
        <v>0</v>
      </c>
      <c r="M55" s="159">
        <f>VLOOKUP($A55,[0]!Data,91,FALSE)</f>
        <v>0</v>
      </c>
      <c r="N55" s="158">
        <f>VLOOKUP(A55,[0]!Data,102,FALSE)</f>
        <v>28366</v>
      </c>
      <c r="O55" s="158">
        <f>VLOOKUP($A55,[0]!Data,98,FALSE)</f>
        <v>30941</v>
      </c>
      <c r="P55" s="158">
        <f>VLOOKUP($A55,[0]!Data,106,FALSE)</f>
        <v>35472</v>
      </c>
      <c r="Q55" s="159">
        <f>VLOOKUP($A55,[0]!Data,110,FALSE)</f>
        <v>30181</v>
      </c>
    </row>
    <row r="56" spans="1:17" s="16" customFormat="1" x14ac:dyDescent="0.25">
      <c r="A56" s="40" t="s">
        <v>1683</v>
      </c>
      <c r="B56" s="40" t="s">
        <v>1972</v>
      </c>
      <c r="C56" s="158">
        <f>'Table 1'!D56/VLOOKUP(A56,[0]!Data,139,FALSE)</f>
        <v>0.11188403345649581</v>
      </c>
      <c r="D56" s="158">
        <f>VLOOKUP(A56,[0]!Data,139,FALSE)/VLOOKUP(A56,[0]!Data,66,FALSE)</f>
        <v>42672.406015037588</v>
      </c>
      <c r="E56" s="200">
        <f>VLOOKUP($A56,[0]!Data,69,FALSE)</f>
        <v>62964</v>
      </c>
      <c r="F56" s="158" t="s">
        <v>2238</v>
      </c>
      <c r="G56" s="158" t="s">
        <v>2239</v>
      </c>
      <c r="H56" s="200">
        <f>VLOOKUP($A56,[0]!Data,72,FALSE)</f>
        <v>0</v>
      </c>
      <c r="I56" s="158">
        <f>VLOOKUP($A56,[0]!Data,75,FALSE)</f>
        <v>35748</v>
      </c>
      <c r="J56" s="158">
        <f>VLOOKUP($A56,[0]!Data,83,FALSE)</f>
        <v>0</v>
      </c>
      <c r="K56" s="158">
        <f>VLOOKUP($A56,[0]!Data,79,FALSE)</f>
        <v>0</v>
      </c>
      <c r="L56" s="158">
        <f>VLOOKUP($A56,[0]!Data,87,FALSE)</f>
        <v>0</v>
      </c>
      <c r="M56" s="159">
        <f>VLOOKUP($A56,[0]!Data,91,FALSE)</f>
        <v>0</v>
      </c>
      <c r="N56" s="158">
        <f>VLOOKUP(A56,[0]!Data,102,FALSE)</f>
        <v>33264</v>
      </c>
      <c r="O56" s="158">
        <f>VLOOKUP($A56,[0]!Data,98,FALSE)</f>
        <v>35268</v>
      </c>
      <c r="P56" s="158">
        <f>VLOOKUP($A56,[0]!Data,106,FALSE)</f>
        <v>31248</v>
      </c>
      <c r="Q56" s="159">
        <f>VLOOKUP($A56,[0]!Data,110,FALSE)</f>
        <v>22962</v>
      </c>
    </row>
    <row r="57" spans="1:17" s="16" customFormat="1" x14ac:dyDescent="0.25">
      <c r="A57" s="40" t="s">
        <v>1714</v>
      </c>
      <c r="B57" s="40" t="s">
        <v>1973</v>
      </c>
      <c r="C57" s="158">
        <f>'Table 1'!D57/VLOOKUP(A57,[0]!Data,139,FALSE)</f>
        <v>0.1261962355164705</v>
      </c>
      <c r="D57" s="158">
        <f>VLOOKUP(A57,[0]!Data,139,FALSE)/VLOOKUP(A57,[0]!Data,66,FALSE)</f>
        <v>45015.555555555555</v>
      </c>
      <c r="E57" s="200">
        <f>VLOOKUP($A57,[0]!Data,69,FALSE)</f>
        <v>57972</v>
      </c>
      <c r="F57" s="158" t="s">
        <v>2240</v>
      </c>
      <c r="G57" s="158" t="s">
        <v>2201</v>
      </c>
      <c r="H57" s="200">
        <f>VLOOKUP($A57,[0]!Data,72,FALSE)</f>
        <v>0</v>
      </c>
      <c r="I57" s="158">
        <f>VLOOKUP($A57,[0]!Data,75,FALSE)</f>
        <v>0</v>
      </c>
      <c r="J57" s="158">
        <f>VLOOKUP($A57,[0]!Data,83,FALSE)</f>
        <v>0</v>
      </c>
      <c r="K57" s="158">
        <f>VLOOKUP($A57,[0]!Data,79,FALSE)</f>
        <v>0</v>
      </c>
      <c r="L57" s="158">
        <f>VLOOKUP($A57,[0]!Data,87,FALSE)</f>
        <v>0</v>
      </c>
      <c r="M57" s="159">
        <f>VLOOKUP($A57,[0]!Data,91,FALSE)</f>
        <v>0</v>
      </c>
      <c r="N57" s="158">
        <f>VLOOKUP(A57,[0]!Data,102,FALSE)</f>
        <v>0</v>
      </c>
      <c r="O57" s="158">
        <f>VLOOKUP($A57,[0]!Data,98,FALSE)</f>
        <v>46296</v>
      </c>
      <c r="P57" s="158">
        <f>VLOOKUP($A57,[0]!Data,106,FALSE)</f>
        <v>0</v>
      </c>
      <c r="Q57" s="159">
        <f>VLOOKUP($A57,[0]!Data,110,FALSE)</f>
        <v>0</v>
      </c>
    </row>
    <row r="58" spans="1:17" s="16" customFormat="1" x14ac:dyDescent="0.25">
      <c r="A58" s="40" t="s">
        <v>1756</v>
      </c>
      <c r="B58" s="40" t="s">
        <v>1974</v>
      </c>
      <c r="C58" s="158">
        <f>'Table 1'!D58/VLOOKUP(A58,[0]!Data,139,FALSE)</f>
        <v>7.4624196216765581E-2</v>
      </c>
      <c r="D58" s="158">
        <f>VLOOKUP(A58,[0]!Data,139,FALSE)/VLOOKUP(A58,[0]!Data,66,FALSE)</f>
        <v>60181.30909090909</v>
      </c>
      <c r="E58" s="200">
        <f>VLOOKUP($A58,[0]!Data,69,FALSE)</f>
        <v>66269</v>
      </c>
      <c r="F58" s="158" t="s">
        <v>2241</v>
      </c>
      <c r="G58" s="158" t="s">
        <v>2226</v>
      </c>
      <c r="H58" s="200">
        <f>VLOOKUP($A58,[0]!Data,72,FALSE)</f>
        <v>0</v>
      </c>
      <c r="I58" s="158">
        <f>VLOOKUP($A58,[0]!Data,75,FALSE)</f>
        <v>17754</v>
      </c>
      <c r="J58" s="158">
        <f>VLOOKUP($A58,[0]!Data,83,FALSE)</f>
        <v>44975</v>
      </c>
      <c r="K58" s="158">
        <f>VLOOKUP($A58,[0]!Data,79,FALSE)</f>
        <v>38403</v>
      </c>
      <c r="L58" s="158">
        <f>VLOOKUP($A58,[0]!Data,87,FALSE)</f>
        <v>42435</v>
      </c>
      <c r="M58" s="159">
        <f>VLOOKUP($A58,[0]!Data,91,FALSE)</f>
        <v>0</v>
      </c>
      <c r="N58" s="158">
        <f>VLOOKUP(A58,[0]!Data,102,FALSE)</f>
        <v>0</v>
      </c>
      <c r="O58" s="158">
        <f>VLOOKUP($A58,[0]!Data,98,FALSE)</f>
        <v>0</v>
      </c>
      <c r="P58" s="158">
        <f>VLOOKUP($A58,[0]!Data,106,FALSE)</f>
        <v>0</v>
      </c>
      <c r="Q58" s="159">
        <f>VLOOKUP($A58,[0]!Data,110,FALSE)</f>
        <v>0</v>
      </c>
    </row>
    <row r="59" spans="1:17" s="16" customFormat="1" x14ac:dyDescent="0.25">
      <c r="A59" s="40" t="s">
        <v>1768</v>
      </c>
      <c r="B59" s="40" t="s">
        <v>1975</v>
      </c>
      <c r="C59" s="158">
        <f>'Table 1'!D59/VLOOKUP(A59,[0]!Data,139,FALSE)</f>
        <v>3.4572014481379275E-2</v>
      </c>
      <c r="D59" s="158">
        <f>VLOOKUP(A59,[0]!Data,139,FALSE)/VLOOKUP(A59,[0]!Data,66,FALSE)</f>
        <v>55413.860830527497</v>
      </c>
      <c r="E59" s="200">
        <f>VLOOKUP($A59,[0]!Data,69,FALSE)</f>
        <v>79015</v>
      </c>
      <c r="F59" s="158" t="s">
        <v>2242</v>
      </c>
      <c r="G59" s="158" t="s">
        <v>2243</v>
      </c>
      <c r="H59" s="200">
        <f>VLOOKUP($A59,[0]!Data,72,FALSE)</f>
        <v>0</v>
      </c>
      <c r="I59" s="158">
        <f>VLOOKUP($A59,[0]!Data,75,FALSE)</f>
        <v>0</v>
      </c>
      <c r="J59" s="158">
        <f>VLOOKUP($A59,[0]!Data,83,FALSE)</f>
        <v>58962</v>
      </c>
      <c r="K59" s="158">
        <f>VLOOKUP($A59,[0]!Data,79,FALSE)</f>
        <v>40750</v>
      </c>
      <c r="L59" s="158">
        <f>VLOOKUP($A59,[0]!Data,87,FALSE)</f>
        <v>0</v>
      </c>
      <c r="M59" s="159">
        <f>VLOOKUP($A59,[0]!Data,91,FALSE)</f>
        <v>40804</v>
      </c>
      <c r="N59" s="158">
        <f>VLOOKUP(A59,[0]!Data,102,FALSE)</f>
        <v>0</v>
      </c>
      <c r="O59" s="158">
        <f>VLOOKUP($A59,[0]!Data,98,FALSE)</f>
        <v>36959</v>
      </c>
      <c r="P59" s="158">
        <f>VLOOKUP($A59,[0]!Data,106,FALSE)</f>
        <v>0</v>
      </c>
      <c r="Q59" s="159">
        <f>VLOOKUP($A59,[0]!Data,110,FALSE)</f>
        <v>0</v>
      </c>
    </row>
    <row r="60" spans="1:17" s="16" customFormat="1" x14ac:dyDescent="0.25">
      <c r="A60" s="40" t="s">
        <v>1784</v>
      </c>
      <c r="B60" s="40" t="s">
        <v>1976</v>
      </c>
      <c r="C60" s="158">
        <f>'Table 1'!D60/VLOOKUP(A60,[0]!Data,139,FALSE)</f>
        <v>6.7203034408409815E-2</v>
      </c>
      <c r="D60" s="158">
        <f>VLOOKUP(A60,[0]!Data,139,FALSE)/VLOOKUP(A60,[0]!Data,66,FALSE)</f>
        <v>62243.937978703529</v>
      </c>
      <c r="E60" s="200">
        <f>VLOOKUP($A60,[0]!Data,69,FALSE)</f>
        <v>81116</v>
      </c>
      <c r="F60" s="158" t="s">
        <v>2244</v>
      </c>
      <c r="G60" s="158" t="s">
        <v>2193</v>
      </c>
      <c r="H60" s="200">
        <f>VLOOKUP($A60,[0]!Data,72,FALSE)</f>
        <v>64620</v>
      </c>
      <c r="I60" s="158">
        <f>VLOOKUP($A60,[0]!Data,75,FALSE)</f>
        <v>46503</v>
      </c>
      <c r="J60" s="158">
        <f>VLOOKUP($A60,[0]!Data,83,FALSE)</f>
        <v>46455</v>
      </c>
      <c r="K60" s="158">
        <f>VLOOKUP($A60,[0]!Data,79,FALSE)</f>
        <v>43222</v>
      </c>
      <c r="L60" s="158">
        <f>VLOOKUP($A60,[0]!Data,87,FALSE)</f>
        <v>43658</v>
      </c>
      <c r="M60" s="159">
        <f>VLOOKUP($A60,[0]!Data,91,FALSE)</f>
        <v>43172</v>
      </c>
      <c r="N60" s="158">
        <f>VLOOKUP(A60,[0]!Data,102,FALSE)</f>
        <v>46455</v>
      </c>
      <c r="O60" s="158">
        <f>VLOOKUP($A60,[0]!Data,98,FALSE)</f>
        <v>43222</v>
      </c>
      <c r="P60" s="158">
        <f>VLOOKUP($A60,[0]!Data,106,FALSE)</f>
        <v>43658</v>
      </c>
      <c r="Q60" s="159">
        <f>VLOOKUP($A60,[0]!Data,110,FALSE)</f>
        <v>43172</v>
      </c>
    </row>
    <row r="61" spans="1:17" s="16" customFormat="1" x14ac:dyDescent="0.25">
      <c r="A61" s="40" t="s">
        <v>1531</v>
      </c>
      <c r="B61" s="40" t="s">
        <v>1977</v>
      </c>
      <c r="C61" s="158">
        <f>'Table 1'!D61/VLOOKUP(A61,[0]!Data,139,FALSE)</f>
        <v>7.86256216838426E-2</v>
      </c>
      <c r="D61" s="158">
        <f>VLOOKUP(A61,[0]!Data,139,FALSE)/VLOOKUP(A61,[0]!Data,66,FALSE)</f>
        <v>38108.866666666669</v>
      </c>
      <c r="E61" s="200">
        <f>VLOOKUP($A61,[0]!Data,69,FALSE)</f>
        <v>64200</v>
      </c>
      <c r="F61" s="158" t="s">
        <v>2245</v>
      </c>
      <c r="G61" s="158" t="s">
        <v>2188</v>
      </c>
      <c r="H61" s="200">
        <f>VLOOKUP($A61,[0]!Data,72,FALSE)</f>
        <v>43308</v>
      </c>
      <c r="I61" s="158">
        <f>VLOOKUP($A61,[0]!Data,75,FALSE)</f>
        <v>0</v>
      </c>
      <c r="J61" s="158">
        <f>VLOOKUP($A61,[0]!Data,83,FALSE)</f>
        <v>0</v>
      </c>
      <c r="K61" s="158">
        <f>VLOOKUP($A61,[0]!Data,79,FALSE)</f>
        <v>39108</v>
      </c>
      <c r="L61" s="158">
        <f>VLOOKUP($A61,[0]!Data,87,FALSE)</f>
        <v>0</v>
      </c>
      <c r="M61" s="159">
        <f>VLOOKUP($A61,[0]!Data,91,FALSE)</f>
        <v>33144</v>
      </c>
      <c r="N61" s="158">
        <f>VLOOKUP(A61,[0]!Data,102,FALSE)</f>
        <v>0</v>
      </c>
      <c r="O61" s="158">
        <f>VLOOKUP($A61,[0]!Data,98,FALSE)</f>
        <v>0</v>
      </c>
      <c r="P61" s="158">
        <f>VLOOKUP($A61,[0]!Data,106,FALSE)</f>
        <v>0</v>
      </c>
      <c r="Q61" s="159">
        <f>VLOOKUP($A61,[0]!Data,110,FALSE)</f>
        <v>0</v>
      </c>
    </row>
    <row r="62" spans="1:17" s="16" customFormat="1" x14ac:dyDescent="0.25">
      <c r="A62" s="40" t="s">
        <v>1799</v>
      </c>
      <c r="B62" s="40" t="s">
        <v>1978</v>
      </c>
      <c r="C62" s="158">
        <f>'Table 1'!D62/VLOOKUP(A62,[0]!Data,139,FALSE)</f>
        <v>6.7683821178567638E-2</v>
      </c>
      <c r="D62" s="158">
        <f>VLOOKUP(A62,[0]!Data,139,FALSE)/VLOOKUP(A62,[0]!Data,66,FALSE)</f>
        <v>61416.072874493926</v>
      </c>
      <c r="E62" s="200">
        <f>VLOOKUP($A62,[0]!Data,69,FALSE)</f>
        <v>128780</v>
      </c>
      <c r="F62" s="158" t="s">
        <v>2246</v>
      </c>
      <c r="G62" s="158" t="s">
        <v>2177</v>
      </c>
      <c r="H62" s="200">
        <f>VLOOKUP($A62,[0]!Data,72,FALSE)</f>
        <v>106387</v>
      </c>
      <c r="I62" s="158">
        <f>VLOOKUP($A62,[0]!Data,75,FALSE)</f>
        <v>61300</v>
      </c>
      <c r="J62" s="158">
        <f>VLOOKUP($A62,[0]!Data,83,FALSE)</f>
        <v>61300</v>
      </c>
      <c r="K62" s="158">
        <f>VLOOKUP($A62,[0]!Data,79,FALSE)</f>
        <v>61300</v>
      </c>
      <c r="L62" s="158">
        <f>VLOOKUP($A62,[0]!Data,87,FALSE)</f>
        <v>0</v>
      </c>
      <c r="M62" s="159">
        <f>VLOOKUP($A62,[0]!Data,91,FALSE)</f>
        <v>0</v>
      </c>
      <c r="N62" s="158">
        <f>VLOOKUP(A62,[0]!Data,102,FALSE)</f>
        <v>47600</v>
      </c>
      <c r="O62" s="158">
        <f>VLOOKUP($A62,[0]!Data,98,FALSE)</f>
        <v>47600</v>
      </c>
      <c r="P62" s="158">
        <f>VLOOKUP($A62,[0]!Data,106,FALSE)</f>
        <v>57000</v>
      </c>
      <c r="Q62" s="159">
        <f>VLOOKUP($A62,[0]!Data,110,FALSE)</f>
        <v>0</v>
      </c>
    </row>
    <row r="63" spans="1:17" s="16" customFormat="1" x14ac:dyDescent="0.25">
      <c r="A63" s="40" t="s">
        <v>1814</v>
      </c>
      <c r="B63" s="40" t="s">
        <v>1979</v>
      </c>
      <c r="C63" s="158">
        <f>'Table 1'!D63/VLOOKUP(A63,[0]!Data,139,FALSE)</f>
        <v>5.7672629506166827E-2</v>
      </c>
      <c r="D63" s="158">
        <f>VLOOKUP(A63,[0]!Data,139,FALSE)/VLOOKUP(A63,[0]!Data,66,FALSE)</f>
        <v>43610.375</v>
      </c>
      <c r="E63" s="200">
        <f>VLOOKUP($A63,[0]!Data,69,FALSE)</f>
        <v>63056</v>
      </c>
      <c r="F63" s="158" t="s">
        <v>2247</v>
      </c>
      <c r="G63" s="158" t="s">
        <v>2179</v>
      </c>
      <c r="H63" s="200">
        <f>VLOOKUP($A63,[0]!Data,72,FALSE)</f>
        <v>0</v>
      </c>
      <c r="I63" s="158">
        <f>VLOOKUP($A63,[0]!Data,75,FALSE)</f>
        <v>0</v>
      </c>
      <c r="J63" s="158">
        <f>VLOOKUP($A63,[0]!Data,83,FALSE)</f>
        <v>0</v>
      </c>
      <c r="K63" s="158">
        <f>VLOOKUP($A63,[0]!Data,79,FALSE)</f>
        <v>0</v>
      </c>
      <c r="L63" s="158">
        <f>VLOOKUP($A63,[0]!Data,87,FALSE)</f>
        <v>0</v>
      </c>
      <c r="M63" s="159">
        <f>VLOOKUP($A63,[0]!Data,91,FALSE)</f>
        <v>0</v>
      </c>
      <c r="N63" s="158">
        <f>VLOOKUP(A63,[0]!Data,102,FALSE)</f>
        <v>0</v>
      </c>
      <c r="O63" s="158">
        <f>VLOOKUP($A63,[0]!Data,98,FALSE)</f>
        <v>0</v>
      </c>
      <c r="P63" s="158">
        <f>VLOOKUP($A63,[0]!Data,106,FALSE)</f>
        <v>0</v>
      </c>
      <c r="Q63" s="159">
        <f>VLOOKUP($A63,[0]!Data,110,FALSE)</f>
        <v>0</v>
      </c>
    </row>
    <row r="64" spans="1:17" s="16" customFormat="1" x14ac:dyDescent="0.25">
      <c r="A64" s="40" t="s">
        <v>1826</v>
      </c>
      <c r="B64" s="40" t="s">
        <v>1980</v>
      </c>
      <c r="C64" s="158">
        <f>'Table 1'!D64/VLOOKUP(A64,[0]!Data,139,FALSE)</f>
        <v>7.941445772246554E-2</v>
      </c>
      <c r="D64" s="158">
        <f>VLOOKUP(A64,[0]!Data,139,FALSE)/VLOOKUP(A64,[0]!Data,66,FALSE)</f>
        <v>43022.255680262795</v>
      </c>
      <c r="E64" s="200">
        <f>VLOOKUP($A64,[0]!Data,69,FALSE)</f>
        <v>83841</v>
      </c>
      <c r="F64" s="158" t="s">
        <v>2248</v>
      </c>
      <c r="G64" s="158" t="s">
        <v>2179</v>
      </c>
      <c r="H64" s="200">
        <f>VLOOKUP($A64,[0]!Data,72,FALSE)</f>
        <v>55233</v>
      </c>
      <c r="I64" s="158">
        <f>VLOOKUP($A64,[0]!Data,75,FALSE)</f>
        <v>39383</v>
      </c>
      <c r="J64" s="158">
        <f>VLOOKUP($A64,[0]!Data,83,FALSE)</f>
        <v>52000</v>
      </c>
      <c r="K64" s="158">
        <f>VLOOKUP($A64,[0]!Data,79,FALSE)</f>
        <v>0</v>
      </c>
      <c r="L64" s="158">
        <f>VLOOKUP($A64,[0]!Data,87,FALSE)</f>
        <v>43359</v>
      </c>
      <c r="M64" s="159">
        <f>VLOOKUP($A64,[0]!Data,91,FALSE)</f>
        <v>40000</v>
      </c>
      <c r="N64" s="158">
        <f>VLOOKUP(A64,[0]!Data,102,FALSE)</f>
        <v>39200</v>
      </c>
      <c r="O64" s="158">
        <f>VLOOKUP($A64,[0]!Data,98,FALSE)</f>
        <v>38055</v>
      </c>
      <c r="P64" s="158">
        <f>VLOOKUP($A64,[0]!Data,106,FALSE)</f>
        <v>0</v>
      </c>
      <c r="Q64" s="159">
        <f>VLOOKUP($A64,[0]!Data,110,FALSE)</f>
        <v>0</v>
      </c>
    </row>
    <row r="65" spans="1:17" s="16" customFormat="1" x14ac:dyDescent="0.25">
      <c r="A65" s="40" t="s">
        <v>1842</v>
      </c>
      <c r="B65" s="40" t="s">
        <v>1981</v>
      </c>
      <c r="C65" s="158">
        <f>'Table 1'!D65/VLOOKUP(A65,[0]!Data,139,FALSE)</f>
        <v>6.3591399706147037E-2</v>
      </c>
      <c r="D65" s="158">
        <f>VLOOKUP(A65,[0]!Data,139,FALSE)/VLOOKUP(A65,[0]!Data,66,FALSE)</f>
        <v>45607.555870876196</v>
      </c>
      <c r="E65" s="201">
        <f>VLOOKUP($A65,[0]!Data,69,FALSE)</f>
        <v>80004</v>
      </c>
      <c r="F65" s="158" t="s">
        <v>2249</v>
      </c>
      <c r="G65" s="158" t="s">
        <v>2206</v>
      </c>
      <c r="H65" s="201">
        <f>VLOOKUP($A65,[0]!Data,72,FALSE)</f>
        <v>59400</v>
      </c>
      <c r="I65" s="204">
        <f>VLOOKUP($A65,[0]!Data,75,FALSE)</f>
        <v>29385</v>
      </c>
      <c r="J65" s="204">
        <f>VLOOKUP($A65,[0]!Data,83,FALSE)</f>
        <v>0</v>
      </c>
      <c r="K65" s="204">
        <f>VLOOKUP($A65,[0]!Data,79,FALSE)</f>
        <v>55765</v>
      </c>
      <c r="L65" s="204">
        <f>VLOOKUP($A65,[0]!Data,87,FALSE)</f>
        <v>42216</v>
      </c>
      <c r="M65" s="196">
        <f>VLOOKUP($A65,[0]!Data,91,FALSE)</f>
        <v>41388</v>
      </c>
      <c r="N65" s="204">
        <f>VLOOKUP(A65,[0]!Data,102,FALSE)</f>
        <v>46536</v>
      </c>
      <c r="O65" s="204">
        <f>VLOOKUP($A65,[0]!Data,98,FALSE)</f>
        <v>42216</v>
      </c>
      <c r="P65" s="204">
        <f>VLOOKUP($A65,[0]!Data,106,FALSE)</f>
        <v>31836</v>
      </c>
      <c r="Q65" s="196">
        <f>VLOOKUP($A65,[0]!Data,110,FALSE)</f>
        <v>27204</v>
      </c>
    </row>
    <row r="66" spans="1:17" s="16" customFormat="1" ht="15.75" thickBot="1" x14ac:dyDescent="0.3">
      <c r="A66" s="648" t="s">
        <v>1882</v>
      </c>
      <c r="B66" s="649"/>
      <c r="C66" s="116">
        <f>AVERAGE(C8:C65)</f>
        <v>8.5909093080437413E-2</v>
      </c>
      <c r="D66" s="111">
        <f>AVERAGE(D8:D65)</f>
        <v>48545.063770301487</v>
      </c>
      <c r="E66" s="127">
        <f>AVERAGE(E8:E65)</f>
        <v>79797.068965517246</v>
      </c>
      <c r="F66" s="206" t="s">
        <v>1898</v>
      </c>
      <c r="G66" s="197" t="s">
        <v>1898</v>
      </c>
      <c r="H66" s="127"/>
      <c r="I66" s="202"/>
      <c r="J66" s="202"/>
      <c r="K66" s="202"/>
      <c r="L66" s="202"/>
      <c r="M66" s="202"/>
      <c r="N66" s="202"/>
      <c r="O66" s="202"/>
      <c r="P66" s="202"/>
      <c r="Q66" s="203"/>
    </row>
    <row r="67" spans="1:17" s="16" customFormat="1" ht="16.5" thickTop="1" thickBot="1" x14ac:dyDescent="0.3">
      <c r="A67" s="650" t="s">
        <v>1866</v>
      </c>
      <c r="B67" s="651"/>
      <c r="C67" s="35"/>
      <c r="D67" s="35"/>
      <c r="E67" s="164"/>
      <c r="F67" s="165"/>
      <c r="G67" s="166"/>
      <c r="H67" s="166"/>
      <c r="I67" s="167"/>
      <c r="J67" s="167"/>
      <c r="K67" s="167"/>
      <c r="L67" s="167"/>
      <c r="M67" s="168"/>
      <c r="N67" s="164"/>
      <c r="O67" s="164"/>
      <c r="P67" s="164"/>
      <c r="Q67" s="169"/>
    </row>
    <row r="68" spans="1:17" s="16" customFormat="1" ht="15.75" thickTop="1" x14ac:dyDescent="0.25">
      <c r="A68" s="55" t="s">
        <v>692</v>
      </c>
      <c r="B68" s="55" t="s">
        <v>1982</v>
      </c>
      <c r="C68" s="158">
        <f>'Table 1'!D68/VLOOKUP(A68,[0]!Data,139,FALSE)</f>
        <v>0.10248845458804631</v>
      </c>
      <c r="D68" s="158">
        <f>VLOOKUP(A68,[0]!Data,139,FALSE)/VLOOKUP(A68,[0]!Data,66,FALSE)</f>
        <v>39318.42105263158</v>
      </c>
      <c r="E68" s="200">
        <f>VLOOKUP($A68,[0]!Data,69,FALSE)</f>
        <v>59483</v>
      </c>
      <c r="F68" s="158" t="s">
        <v>2190</v>
      </c>
      <c r="G68" s="158" t="s">
        <v>2217</v>
      </c>
      <c r="H68" s="200">
        <f>VLOOKUP($A68,[0]!Data,72,FALSE)</f>
        <v>0</v>
      </c>
      <c r="I68" s="198">
        <f>VLOOKUP($A68,[0]!Data,75,FALSE)</f>
        <v>25789</v>
      </c>
      <c r="J68" s="198">
        <f>VLOOKUP($A68,[0]!Data,83,FALSE)</f>
        <v>0</v>
      </c>
      <c r="K68" s="198">
        <f>VLOOKUP($A68,[0]!Data,79,FALSE)</f>
        <v>0</v>
      </c>
      <c r="L68" s="198">
        <f>VLOOKUP($A68,[0]!Data,87,FALSE)</f>
        <v>0</v>
      </c>
      <c r="M68" s="199">
        <f>VLOOKUP($A68,[0]!Data,91,FALSE)</f>
        <v>0</v>
      </c>
      <c r="N68" s="158">
        <f>VLOOKUP(A68,[0]!Data,102,FALSE)</f>
        <v>0</v>
      </c>
      <c r="O68" s="158">
        <f>VLOOKUP($A68,[0]!Data,98,FALSE)</f>
        <v>0</v>
      </c>
      <c r="P68" s="158">
        <f>VLOOKUP($A68,[0]!Data,106,FALSE)</f>
        <v>0</v>
      </c>
      <c r="Q68" s="159">
        <f>VLOOKUP($A68,[0]!Data,110,FALSE)</f>
        <v>0</v>
      </c>
    </row>
    <row r="69" spans="1:17" s="16" customFormat="1" x14ac:dyDescent="0.25">
      <c r="A69" s="55" t="s">
        <v>739</v>
      </c>
      <c r="B69" s="55" t="s">
        <v>1983</v>
      </c>
      <c r="C69" s="158">
        <f>'Table 1'!D69/VLOOKUP(A69,[0]!Data,139,FALSE)</f>
        <v>9.5285666450217646E-2</v>
      </c>
      <c r="D69" s="158">
        <f>VLOOKUP(A69,[0]!Data,139,FALSE)/VLOOKUP(A69,[0]!Data,66,FALSE)</f>
        <v>28449.63157894737</v>
      </c>
      <c r="E69" s="200">
        <f>VLOOKUP($A69,[0]!Data,69,FALSE)</f>
        <v>41376</v>
      </c>
      <c r="F69" s="158" t="s">
        <v>2250</v>
      </c>
      <c r="G69" s="158" t="s">
        <v>2181</v>
      </c>
      <c r="H69" s="200">
        <f>VLOOKUP($A69,[0]!Data,72,FALSE)</f>
        <v>0</v>
      </c>
      <c r="I69" s="158">
        <f>VLOOKUP($A69,[0]!Data,75,FALSE)</f>
        <v>26812</v>
      </c>
      <c r="J69" s="158">
        <f>VLOOKUP($A69,[0]!Data,83,FALSE)</f>
        <v>0</v>
      </c>
      <c r="K69" s="158">
        <f>VLOOKUP($A69,[0]!Data,79,FALSE)</f>
        <v>29000</v>
      </c>
      <c r="L69" s="158">
        <f>VLOOKUP($A69,[0]!Data,87,FALSE)</f>
        <v>0</v>
      </c>
      <c r="M69" s="159">
        <f>VLOOKUP($A69,[0]!Data,91,FALSE)</f>
        <v>0</v>
      </c>
      <c r="N69" s="158">
        <f>VLOOKUP(A69,[0]!Data,102,FALSE)</f>
        <v>0</v>
      </c>
      <c r="O69" s="158">
        <f>VLOOKUP($A69,[0]!Data,98,FALSE)</f>
        <v>0</v>
      </c>
      <c r="P69" s="158">
        <f>VLOOKUP($A69,[0]!Data,106,FALSE)</f>
        <v>0</v>
      </c>
      <c r="Q69" s="159">
        <f>VLOOKUP($A69,[0]!Data,110,FALSE)</f>
        <v>0</v>
      </c>
    </row>
    <row r="70" spans="1:17" s="16" customFormat="1" x14ac:dyDescent="0.25">
      <c r="A70" s="55" t="s">
        <v>723</v>
      </c>
      <c r="B70" s="55" t="s">
        <v>1984</v>
      </c>
      <c r="C70" s="158">
        <f>'Table 1'!D70/VLOOKUP(A70,[0]!Data,139,FALSE)</f>
        <v>9.1929534949248493E-2</v>
      </c>
      <c r="D70" s="158">
        <f>VLOOKUP(A70,[0]!Data,139,FALSE)/VLOOKUP(A70,[0]!Data,66,FALSE)</f>
        <v>36203.342070773266</v>
      </c>
      <c r="E70" s="200">
        <f>VLOOKUP($A70,[0]!Data,69,FALSE)</f>
        <v>68972</v>
      </c>
      <c r="F70" s="158" t="s">
        <v>2251</v>
      </c>
      <c r="G70" s="158" t="s">
        <v>2193</v>
      </c>
      <c r="H70" s="200">
        <f>VLOOKUP($A70,[0]!Data,72,FALSE)</f>
        <v>0</v>
      </c>
      <c r="I70" s="198">
        <f>VLOOKUP($A70,[0]!Data,75,FALSE)</f>
        <v>42692</v>
      </c>
      <c r="J70" s="198">
        <f>VLOOKUP($A70,[0]!Data,83,FALSE)</f>
        <v>35961</v>
      </c>
      <c r="K70" s="198">
        <f>VLOOKUP($A70,[0]!Data,79,FALSE)</f>
        <v>34585</v>
      </c>
      <c r="L70" s="198">
        <f>VLOOKUP($A70,[0]!Data,87,FALSE)</f>
        <v>27879</v>
      </c>
      <c r="M70" s="199">
        <f>VLOOKUP($A70,[0]!Data,91,FALSE)</f>
        <v>24736</v>
      </c>
      <c r="N70" s="158">
        <f>VLOOKUP(A70,[0]!Data,102,FALSE)</f>
        <v>28274</v>
      </c>
      <c r="O70" s="158">
        <f>VLOOKUP($A70,[0]!Data,98,FALSE)</f>
        <v>27050</v>
      </c>
      <c r="P70" s="158">
        <f>VLOOKUP($A70,[0]!Data,106,FALSE)</f>
        <v>0</v>
      </c>
      <c r="Q70" s="159">
        <f>VLOOKUP($A70,[0]!Data,110,FALSE)</f>
        <v>0</v>
      </c>
    </row>
    <row r="71" spans="1:17" s="16" customFormat="1" x14ac:dyDescent="0.25">
      <c r="A71" s="55" t="s">
        <v>760</v>
      </c>
      <c r="B71" s="55" t="s">
        <v>1985</v>
      </c>
      <c r="C71" s="158">
        <f>'Table 1'!D71/VLOOKUP(A71,[0]!Data,139,FALSE)</f>
        <v>0.11931922984151308</v>
      </c>
      <c r="D71" s="158">
        <f>VLOOKUP(A71,[0]!Data,139,FALSE)/VLOOKUP(A71,[0]!Data,66,FALSE)</f>
        <v>31150.939226519335</v>
      </c>
      <c r="E71" s="200">
        <f>VLOOKUP($A71,[0]!Data,69,FALSE)</f>
        <v>50551</v>
      </c>
      <c r="F71" s="158" t="s">
        <v>2190</v>
      </c>
      <c r="G71" s="158" t="s">
        <v>2181</v>
      </c>
      <c r="H71" s="200">
        <f>VLOOKUP($A71,[0]!Data,72,FALSE)</f>
        <v>0</v>
      </c>
      <c r="I71" s="158">
        <f>VLOOKUP($A71,[0]!Data,75,FALSE)</f>
        <v>30533</v>
      </c>
      <c r="J71" s="158">
        <f>VLOOKUP($A71,[0]!Data,83,FALSE)</f>
        <v>0</v>
      </c>
      <c r="K71" s="158">
        <f>VLOOKUP($A71,[0]!Data,79,FALSE)</f>
        <v>38125</v>
      </c>
      <c r="L71" s="158">
        <f>VLOOKUP($A71,[0]!Data,87,FALSE)</f>
        <v>0</v>
      </c>
      <c r="M71" s="159">
        <f>VLOOKUP($A71,[0]!Data,91,FALSE)</f>
        <v>0</v>
      </c>
      <c r="N71" s="158">
        <f>VLOOKUP(A71,[0]!Data,102,FALSE)</f>
        <v>0</v>
      </c>
      <c r="O71" s="158">
        <f>VLOOKUP($A71,[0]!Data,98,FALSE)</f>
        <v>0</v>
      </c>
      <c r="P71" s="158">
        <f>VLOOKUP($A71,[0]!Data,106,FALSE)</f>
        <v>0</v>
      </c>
      <c r="Q71" s="159">
        <f>VLOOKUP($A71,[0]!Data,110,FALSE)</f>
        <v>0</v>
      </c>
    </row>
    <row r="72" spans="1:17" s="16" customFormat="1" x14ac:dyDescent="0.25">
      <c r="A72" s="55" t="s">
        <v>975</v>
      </c>
      <c r="B72" s="55" t="s">
        <v>1986</v>
      </c>
      <c r="C72" s="158">
        <f>'Table 1'!D72/VLOOKUP(A72,[0]!Data,139,FALSE)</f>
        <v>7.6551783440272872E-2</v>
      </c>
      <c r="D72" s="158">
        <f>VLOOKUP(A72,[0]!Data,139,FALSE)/VLOOKUP(A72,[0]!Data,66,FALSE)</f>
        <v>34528.347235967762</v>
      </c>
      <c r="E72" s="200">
        <f>VLOOKUP($A72,[0]!Data,69,FALSE)</f>
        <v>84074</v>
      </c>
      <c r="F72" s="158" t="s">
        <v>2252</v>
      </c>
      <c r="G72" s="158" t="s">
        <v>2193</v>
      </c>
      <c r="H72" s="200">
        <f>VLOOKUP($A72,[0]!Data,72,FALSE)</f>
        <v>0</v>
      </c>
      <c r="I72" s="198">
        <f>VLOOKUP($A72,[0]!Data,75,FALSE)</f>
        <v>0</v>
      </c>
      <c r="J72" s="198">
        <f>VLOOKUP($A72,[0]!Data,83,FALSE)</f>
        <v>0</v>
      </c>
      <c r="K72" s="198">
        <f>VLOOKUP($A72,[0]!Data,79,FALSE)</f>
        <v>0</v>
      </c>
      <c r="L72" s="198">
        <f>VLOOKUP($A72,[0]!Data,87,FALSE)</f>
        <v>0</v>
      </c>
      <c r="M72" s="199">
        <f>VLOOKUP($A72,[0]!Data,91,FALSE)</f>
        <v>0</v>
      </c>
      <c r="N72" s="158">
        <f>VLOOKUP(A72,[0]!Data,102,FALSE)</f>
        <v>32704</v>
      </c>
      <c r="O72" s="158">
        <f>VLOOKUP($A72,[0]!Data,98,FALSE)</f>
        <v>19743</v>
      </c>
      <c r="P72" s="158">
        <f>VLOOKUP($A72,[0]!Data,106,FALSE)</f>
        <v>35478</v>
      </c>
      <c r="Q72" s="159">
        <f>VLOOKUP($A72,[0]!Data,110,FALSE)</f>
        <v>0</v>
      </c>
    </row>
    <row r="73" spans="1:17" s="16" customFormat="1" x14ac:dyDescent="0.25">
      <c r="A73" s="55" t="s">
        <v>1071</v>
      </c>
      <c r="B73" s="55" t="s">
        <v>1987</v>
      </c>
      <c r="C73" s="158">
        <f>'Table 1'!D73/VLOOKUP(A73,[0]!Data,139,FALSE)</f>
        <v>5.4812046733670537E-2</v>
      </c>
      <c r="D73" s="158">
        <f>VLOOKUP(A73,[0]!Data,139,FALSE)/VLOOKUP(A73,[0]!Data,66,FALSE)</f>
        <v>44111.783575705733</v>
      </c>
      <c r="E73" s="200">
        <f>VLOOKUP($A73,[0]!Data,69,FALSE)</f>
        <v>66527</v>
      </c>
      <c r="F73" s="158" t="s">
        <v>2253</v>
      </c>
      <c r="G73" s="158" t="s">
        <v>2179</v>
      </c>
      <c r="H73" s="200">
        <f>VLOOKUP($A73,[0]!Data,72,FALSE)</f>
        <v>57800</v>
      </c>
      <c r="I73" s="158">
        <f>VLOOKUP($A73,[0]!Data,75,FALSE)</f>
        <v>36626</v>
      </c>
      <c r="J73" s="158">
        <f>VLOOKUP($A73,[0]!Data,83,FALSE)</f>
        <v>0</v>
      </c>
      <c r="K73" s="158">
        <f>VLOOKUP($A73,[0]!Data,79,FALSE)</f>
        <v>0</v>
      </c>
      <c r="L73" s="158">
        <f>VLOOKUP($A73,[0]!Data,87,FALSE)</f>
        <v>0</v>
      </c>
      <c r="M73" s="159">
        <f>VLOOKUP($A73,[0]!Data,91,FALSE)</f>
        <v>0</v>
      </c>
      <c r="N73" s="158">
        <f>VLOOKUP(A73,[0]!Data,102,FALSE)</f>
        <v>58801</v>
      </c>
      <c r="O73" s="158">
        <f>VLOOKUP($A73,[0]!Data,98,FALSE)</f>
        <v>34162</v>
      </c>
      <c r="P73" s="158">
        <f>VLOOKUP($A73,[0]!Data,106,FALSE)</f>
        <v>0</v>
      </c>
      <c r="Q73" s="159">
        <f>VLOOKUP($A73,[0]!Data,110,FALSE)</f>
        <v>0</v>
      </c>
    </row>
    <row r="74" spans="1:17" s="16" customFormat="1" x14ac:dyDescent="0.25">
      <c r="A74" s="55" t="s">
        <v>1111</v>
      </c>
      <c r="B74" s="55" t="s">
        <v>1988</v>
      </c>
      <c r="C74" s="158">
        <f>'Table 1'!D74/VLOOKUP(A74,[0]!Data,139,FALSE)</f>
        <v>3.8768193618091626E-2</v>
      </c>
      <c r="D74" s="158">
        <f>VLOOKUP(A74,[0]!Data,139,FALSE)/VLOOKUP(A74,[0]!Data,66,FALSE)</f>
        <v>38301.869918699187</v>
      </c>
      <c r="E74" s="200">
        <f>VLOOKUP($A74,[0]!Data,69,FALSE)</f>
        <v>79976</v>
      </c>
      <c r="F74" s="158" t="s">
        <v>2190</v>
      </c>
      <c r="G74" s="158" t="s">
        <v>2254</v>
      </c>
      <c r="H74" s="200">
        <f>VLOOKUP($A74,[0]!Data,72,FALSE)</f>
        <v>0</v>
      </c>
      <c r="I74" s="198">
        <f>VLOOKUP($A74,[0]!Data,75,FALSE)</f>
        <v>41434</v>
      </c>
      <c r="J74" s="198">
        <f>VLOOKUP($A74,[0]!Data,83,FALSE)</f>
        <v>0</v>
      </c>
      <c r="K74" s="198">
        <f>VLOOKUP($A74,[0]!Data,79,FALSE)</f>
        <v>0</v>
      </c>
      <c r="L74" s="198">
        <f>VLOOKUP($A74,[0]!Data,87,FALSE)</f>
        <v>0</v>
      </c>
      <c r="M74" s="199">
        <f>VLOOKUP($A74,[0]!Data,91,FALSE)</f>
        <v>0</v>
      </c>
      <c r="N74" s="158">
        <f>VLOOKUP(A74,[0]!Data,102,FALSE)</f>
        <v>0</v>
      </c>
      <c r="O74" s="158">
        <f>VLOOKUP($A74,[0]!Data,98,FALSE)</f>
        <v>33280</v>
      </c>
      <c r="P74" s="158">
        <f>VLOOKUP($A74,[0]!Data,106,FALSE)</f>
        <v>0</v>
      </c>
      <c r="Q74" s="159">
        <f>VLOOKUP($A74,[0]!Data,110,FALSE)</f>
        <v>0</v>
      </c>
    </row>
    <row r="75" spans="1:17" s="16" customFormat="1" x14ac:dyDescent="0.25">
      <c r="A75" s="55" t="s">
        <v>1425</v>
      </c>
      <c r="B75" s="55" t="s">
        <v>1989</v>
      </c>
      <c r="C75" s="158">
        <f>'Table 1'!D75/VLOOKUP(A75,[0]!Data,139,FALSE)</f>
        <v>6.1973815026991015E-2</v>
      </c>
      <c r="D75" s="158">
        <f>VLOOKUP(A75,[0]!Data,139,FALSE)/VLOOKUP(A75,[0]!Data,66,FALSE)</f>
        <v>54927.234636871508</v>
      </c>
      <c r="E75" s="200">
        <f>VLOOKUP($A75,[0]!Data,69,FALSE)</f>
        <v>54075</v>
      </c>
      <c r="F75" s="158" t="s">
        <v>1898</v>
      </c>
      <c r="G75" s="158" t="s">
        <v>2201</v>
      </c>
      <c r="H75" s="200">
        <f>VLOOKUP($A75,[0]!Data,72,FALSE)</f>
        <v>0</v>
      </c>
      <c r="I75" s="158">
        <f>VLOOKUP($A75,[0]!Data,75,FALSE)</f>
        <v>33352</v>
      </c>
      <c r="J75" s="158">
        <f>VLOOKUP($A75,[0]!Data,83,FALSE)</f>
        <v>0</v>
      </c>
      <c r="K75" s="158">
        <f>VLOOKUP($A75,[0]!Data,79,FALSE)</f>
        <v>42000</v>
      </c>
      <c r="L75" s="158">
        <f>VLOOKUP($A75,[0]!Data,87,FALSE)</f>
        <v>0</v>
      </c>
      <c r="M75" s="159">
        <f>VLOOKUP($A75,[0]!Data,91,FALSE)</f>
        <v>0</v>
      </c>
      <c r="N75" s="158">
        <f>VLOOKUP(A75,[0]!Data,102,FALSE)</f>
        <v>0</v>
      </c>
      <c r="O75" s="158">
        <f>VLOOKUP($A75,[0]!Data,98,FALSE)</f>
        <v>0</v>
      </c>
      <c r="P75" s="158">
        <f>VLOOKUP($A75,[0]!Data,106,FALSE)</f>
        <v>0</v>
      </c>
      <c r="Q75" s="159">
        <f>VLOOKUP($A75,[0]!Data,110,FALSE)</f>
        <v>0</v>
      </c>
    </row>
    <row r="76" spans="1:17" s="16" customFormat="1" x14ac:dyDescent="0.25">
      <c r="A76" s="55" t="s">
        <v>1442</v>
      </c>
      <c r="B76" s="55" t="s">
        <v>1990</v>
      </c>
      <c r="C76" s="158">
        <f>'Table 1'!D76/VLOOKUP(A76,[0]!Data,139,FALSE)</f>
        <v>7.9546233433060623E-2</v>
      </c>
      <c r="D76" s="158">
        <f>VLOOKUP(A76,[0]!Data,139,FALSE)/VLOOKUP(A76,[0]!Data,66,FALSE)</f>
        <v>37346.974734042553</v>
      </c>
      <c r="E76" s="200">
        <f>VLOOKUP($A76,[0]!Data,69,FALSE)</f>
        <v>187260</v>
      </c>
      <c r="F76" s="158" t="s">
        <v>2255</v>
      </c>
      <c r="G76" s="158" t="s">
        <v>2243</v>
      </c>
      <c r="H76" s="200">
        <f>VLOOKUP($A76,[0]!Data,72,FALSE)</f>
        <v>0</v>
      </c>
      <c r="I76" s="198">
        <f>VLOOKUP($A76,[0]!Data,75,FALSE)</f>
        <v>37000</v>
      </c>
      <c r="J76" s="198">
        <f>VLOOKUP($A76,[0]!Data,83,FALSE)</f>
        <v>40000</v>
      </c>
      <c r="K76" s="198">
        <f>VLOOKUP($A76,[0]!Data,79,FALSE)</f>
        <v>40000</v>
      </c>
      <c r="L76" s="198">
        <f>VLOOKUP($A76,[0]!Data,87,FALSE)</f>
        <v>32000</v>
      </c>
      <c r="M76" s="199">
        <f>VLOOKUP($A76,[0]!Data,91,FALSE)</f>
        <v>35000</v>
      </c>
      <c r="N76" s="158">
        <f>VLOOKUP(A76,[0]!Data,102,FALSE)</f>
        <v>32000</v>
      </c>
      <c r="O76" s="158">
        <f>VLOOKUP($A76,[0]!Data,98,FALSE)</f>
        <v>30000</v>
      </c>
      <c r="P76" s="158">
        <f>VLOOKUP($A76,[0]!Data,106,FALSE)</f>
        <v>32000</v>
      </c>
      <c r="Q76" s="159">
        <f>VLOOKUP($A76,[0]!Data,110,FALSE)</f>
        <v>28000</v>
      </c>
    </row>
    <row r="77" spans="1:17" s="16" customFormat="1" x14ac:dyDescent="0.25">
      <c r="A77" s="55" t="s">
        <v>1472</v>
      </c>
      <c r="B77" s="55" t="s">
        <v>1991</v>
      </c>
      <c r="C77" s="158">
        <f>'Table 1'!D77/VLOOKUP(A77,[0]!Data,139,FALSE)</f>
        <v>0.10447234710501975</v>
      </c>
      <c r="D77" s="158">
        <f>VLOOKUP(A77,[0]!Data,139,FALSE)/VLOOKUP(A77,[0]!Data,66,FALSE)</f>
        <v>32792.600121976015</v>
      </c>
      <c r="E77" s="200">
        <f>VLOOKUP($A77,[0]!Data,69,FALSE)</f>
        <v>59050</v>
      </c>
      <c r="F77" s="158" t="s">
        <v>2256</v>
      </c>
      <c r="G77" s="158" t="s">
        <v>2206</v>
      </c>
      <c r="H77" s="200">
        <f>VLOOKUP($A77,[0]!Data,72,FALSE)</f>
        <v>0</v>
      </c>
      <c r="I77" s="158">
        <f>VLOOKUP($A77,[0]!Data,75,FALSE)</f>
        <v>0</v>
      </c>
      <c r="J77" s="158">
        <f>VLOOKUP($A77,[0]!Data,83,FALSE)</f>
        <v>0</v>
      </c>
      <c r="K77" s="158">
        <f>VLOOKUP($A77,[0]!Data,79,FALSE)</f>
        <v>0</v>
      </c>
      <c r="L77" s="158">
        <f>VLOOKUP($A77,[0]!Data,87,FALSE)</f>
        <v>0</v>
      </c>
      <c r="M77" s="159">
        <f>VLOOKUP($A77,[0]!Data,91,FALSE)</f>
        <v>0</v>
      </c>
      <c r="N77" s="158">
        <f>VLOOKUP(A77,[0]!Data,102,FALSE)</f>
        <v>0</v>
      </c>
      <c r="O77" s="158">
        <f>VLOOKUP($A77,[0]!Data,98,FALSE)</f>
        <v>0</v>
      </c>
      <c r="P77" s="158">
        <f>VLOOKUP($A77,[0]!Data,106,FALSE)</f>
        <v>0</v>
      </c>
      <c r="Q77" s="159">
        <f>VLOOKUP($A77,[0]!Data,110,FALSE)</f>
        <v>0</v>
      </c>
    </row>
    <row r="78" spans="1:17" s="16" customFormat="1" x14ac:dyDescent="0.25">
      <c r="A78" s="55" t="s">
        <v>1558</v>
      </c>
      <c r="B78" s="55" t="s">
        <v>1992</v>
      </c>
      <c r="C78" s="158">
        <f>'Table 1'!D78/VLOOKUP(A78,[0]!Data,139,FALSE)</f>
        <v>5.7081257346334235E-2</v>
      </c>
      <c r="D78" s="158">
        <f>VLOOKUP(A78,[0]!Data,139,FALSE)/VLOOKUP(A78,[0]!Data,66,FALSE)</f>
        <v>93768.149038461532</v>
      </c>
      <c r="E78" s="200">
        <f>VLOOKUP($A78,[0]!Data,69,FALSE)</f>
        <v>61228</v>
      </c>
      <c r="F78" s="158" t="s">
        <v>2257</v>
      </c>
      <c r="G78" s="158" t="s">
        <v>2193</v>
      </c>
      <c r="H78" s="200">
        <f>VLOOKUP($A78,[0]!Data,72,FALSE)</f>
        <v>0</v>
      </c>
      <c r="I78" s="198">
        <f>VLOOKUP($A78,[0]!Data,75,FALSE)</f>
        <v>42829</v>
      </c>
      <c r="J78" s="198">
        <f>VLOOKUP($A78,[0]!Data,83,FALSE)</f>
        <v>0</v>
      </c>
      <c r="K78" s="198">
        <f>VLOOKUP($A78,[0]!Data,79,FALSE)</f>
        <v>0</v>
      </c>
      <c r="L78" s="198">
        <f>VLOOKUP($A78,[0]!Data,87,FALSE)</f>
        <v>0</v>
      </c>
      <c r="M78" s="199">
        <f>VLOOKUP($A78,[0]!Data,91,FALSE)</f>
        <v>0</v>
      </c>
      <c r="N78" s="158">
        <f>VLOOKUP(A78,[0]!Data,102,FALSE)</f>
        <v>0</v>
      </c>
      <c r="O78" s="158">
        <f>VLOOKUP($A78,[0]!Data,98,FALSE)</f>
        <v>0</v>
      </c>
      <c r="P78" s="158">
        <f>VLOOKUP($A78,[0]!Data,106,FALSE)</f>
        <v>0</v>
      </c>
      <c r="Q78" s="159">
        <f>VLOOKUP($A78,[0]!Data,110,FALSE)</f>
        <v>0</v>
      </c>
    </row>
    <row r="79" spans="1:17" s="16" customFormat="1" x14ac:dyDescent="0.25">
      <c r="A79" s="55" t="s">
        <v>1696</v>
      </c>
      <c r="B79" s="55" t="s">
        <v>1993</v>
      </c>
      <c r="C79" s="158">
        <f>'Table 1'!D79/VLOOKUP(A79,[0]!Data,139,FALSE)</f>
        <v>0.12371854811288677</v>
      </c>
      <c r="D79" s="158">
        <f>VLOOKUP(A79,[0]!Data,139,FALSE)/VLOOKUP(A79,[0]!Data,66,FALSE)</f>
        <v>40891.592439713233</v>
      </c>
      <c r="E79" s="200">
        <f>VLOOKUP($A79,[0]!Data,69,FALSE)</f>
        <v>61200</v>
      </c>
      <c r="F79" s="158" t="s">
        <v>2190</v>
      </c>
      <c r="G79" s="158" t="s">
        <v>2213</v>
      </c>
      <c r="H79" s="200">
        <f>VLOOKUP($A79,[0]!Data,72,FALSE)</f>
        <v>0</v>
      </c>
      <c r="I79" s="158">
        <f>VLOOKUP($A79,[0]!Data,75,FALSE)</f>
        <v>42005</v>
      </c>
      <c r="J79" s="158">
        <f>VLOOKUP($A79,[0]!Data,83,FALSE)</f>
        <v>0</v>
      </c>
      <c r="K79" s="158">
        <f>VLOOKUP($A79,[0]!Data,79,FALSE)</f>
        <v>0</v>
      </c>
      <c r="L79" s="158">
        <f>VLOOKUP($A79,[0]!Data,87,FALSE)</f>
        <v>50072</v>
      </c>
      <c r="M79" s="159">
        <f>VLOOKUP($A79,[0]!Data,91,FALSE)</f>
        <v>0</v>
      </c>
      <c r="N79" s="158">
        <f>VLOOKUP(A79,[0]!Data,102,FALSE)</f>
        <v>0</v>
      </c>
      <c r="O79" s="158">
        <f>VLOOKUP($A79,[0]!Data,98,FALSE)</f>
        <v>0</v>
      </c>
      <c r="P79" s="158">
        <f>VLOOKUP($A79,[0]!Data,106,FALSE)</f>
        <v>0</v>
      </c>
      <c r="Q79" s="159">
        <f>VLOOKUP($A79,[0]!Data,110,FALSE)</f>
        <v>0</v>
      </c>
    </row>
    <row r="80" spans="1:17" s="16" customFormat="1" ht="15.75" thickBot="1" x14ac:dyDescent="0.3">
      <c r="A80" s="648" t="s">
        <v>1882</v>
      </c>
      <c r="B80" s="649"/>
      <c r="C80" s="189"/>
      <c r="D80" s="189"/>
      <c r="E80" s="170">
        <f>AVERAGE(E68:E79)</f>
        <v>72814.333333333328</v>
      </c>
      <c r="F80" s="160" t="s">
        <v>1898</v>
      </c>
      <c r="G80" s="161" t="s">
        <v>1898</v>
      </c>
      <c r="H80" s="161"/>
      <c r="I80" s="162">
        <f>AVERAGEIF(I68:I79,"&gt;-1",I68:I79)</f>
        <v>29922.666666666668</v>
      </c>
      <c r="J80" s="162"/>
      <c r="K80" s="162"/>
      <c r="L80" s="162"/>
      <c r="M80" s="162">
        <f>AVERAGEIF(M68:M79,"&gt;-1",M68:M79)</f>
        <v>4978</v>
      </c>
      <c r="N80" s="162">
        <f>AVERAGEIF(N68:N79,"&gt;-1",N68:N79)</f>
        <v>12648.25</v>
      </c>
      <c r="O80" s="162"/>
      <c r="P80" s="162"/>
      <c r="Q80" s="163">
        <f>AVERAGEIF(Q68:Q79,"&gt;-1",Q68:Q79)</f>
        <v>2333.3333333333335</v>
      </c>
    </row>
    <row r="81" spans="1:17" s="16" customFormat="1" ht="16.5" thickTop="1" thickBot="1" x14ac:dyDescent="0.3">
      <c r="A81" s="58"/>
      <c r="B81" s="35" t="s">
        <v>1867</v>
      </c>
      <c r="C81" s="35"/>
      <c r="D81" s="35"/>
      <c r="E81" s="164"/>
      <c r="F81" s="165"/>
      <c r="G81" s="166"/>
      <c r="H81" s="166"/>
      <c r="I81" s="167"/>
      <c r="J81" s="167"/>
      <c r="K81" s="167"/>
      <c r="L81" s="167"/>
      <c r="M81" s="168"/>
      <c r="N81" s="164"/>
      <c r="O81" s="164"/>
      <c r="P81" s="164"/>
      <c r="Q81" s="169"/>
    </row>
    <row r="82" spans="1:17" s="16" customFormat="1" ht="15.75" thickTop="1" x14ac:dyDescent="0.25">
      <c r="A82" s="55" t="s">
        <v>897</v>
      </c>
      <c r="B82" s="55" t="s">
        <v>1994</v>
      </c>
      <c r="C82" s="158">
        <f>'Table 1'!D82/VLOOKUP(A82,[0]!Data,139,FALSE)</f>
        <v>2.8260122310066218E-2</v>
      </c>
      <c r="D82" s="158">
        <f>VLOOKUP(A82,[0]!Data,139,FALSE)/VLOOKUP(A82,[0]!Data,66,FALSE)</f>
        <v>62236.144578313251</v>
      </c>
      <c r="E82" s="200">
        <f>VLOOKUP($A82,[0]!Data,69,FALSE)</f>
        <v>102178</v>
      </c>
      <c r="F82" s="158" t="s">
        <v>2258</v>
      </c>
      <c r="G82" s="158" t="s">
        <v>2193</v>
      </c>
      <c r="H82" s="200">
        <f>VLOOKUP($A82,[0]!Data,72,FALSE)</f>
        <v>79636</v>
      </c>
      <c r="I82" s="198">
        <f>VLOOKUP($A82,[0]!Data,75,FALSE)</f>
        <v>0</v>
      </c>
      <c r="J82" s="198">
        <f>VLOOKUP($A82,[0]!Data,83,FALSE)</f>
        <v>59029</v>
      </c>
      <c r="K82" s="198">
        <f>VLOOKUP($A82,[0]!Data,79,FALSE)</f>
        <v>71172</v>
      </c>
      <c r="L82" s="198">
        <f>VLOOKUP($A82,[0]!Data,87,FALSE)</f>
        <v>59029</v>
      </c>
      <c r="M82" s="199">
        <f>VLOOKUP($A82,[0]!Data,91,FALSE)</f>
        <v>0</v>
      </c>
      <c r="N82" s="158">
        <f>VLOOKUP(A82,[0]!Data,102,FALSE)</f>
        <v>54798</v>
      </c>
      <c r="O82" s="158">
        <f>VLOOKUP($A82,[0]!Data,98,FALSE)</f>
        <v>54892</v>
      </c>
      <c r="P82" s="158">
        <f>VLOOKUP($A82,[0]!Data,106,FALSE)</f>
        <v>0</v>
      </c>
      <c r="Q82" s="159">
        <f>VLOOKUP($A82,[0]!Data,110,FALSE)</f>
        <v>61017</v>
      </c>
    </row>
    <row r="83" spans="1:17" s="16" customFormat="1" x14ac:dyDescent="0.25">
      <c r="A83" s="55" t="s">
        <v>1312</v>
      </c>
      <c r="B83" s="55" t="s">
        <v>1868</v>
      </c>
      <c r="C83" s="158">
        <f>'Table 1'!D83/VLOOKUP(A83,[0]!Data,139,FALSE)</f>
        <v>4.3908282385381234E-2</v>
      </c>
      <c r="D83" s="158">
        <f>VLOOKUP(A83,[0]!Data,139,FALSE)/VLOOKUP(A83,[0]!Data,66,FALSE)</f>
        <v>47574.731182795695</v>
      </c>
      <c r="E83" s="200">
        <f>VLOOKUP($A83,[0]!Data,69,FALSE)</f>
        <v>58000</v>
      </c>
      <c r="F83" s="158" t="s">
        <v>2259</v>
      </c>
      <c r="G83" s="158" t="s">
        <v>2179</v>
      </c>
      <c r="H83" s="200">
        <f>VLOOKUP($A83,[0]!Data,72,FALSE)</f>
        <v>-1</v>
      </c>
      <c r="I83" s="158">
        <f>VLOOKUP($A83,[0]!Data,75,FALSE)</f>
        <v>0</v>
      </c>
      <c r="J83" s="158">
        <f>VLOOKUP($A83,[0]!Data,83,FALSE)</f>
        <v>0</v>
      </c>
      <c r="K83" s="158">
        <f>VLOOKUP($A83,[0]!Data,79,FALSE)</f>
        <v>0</v>
      </c>
      <c r="L83" s="158">
        <f>VLOOKUP($A83,[0]!Data,87,FALSE)</f>
        <v>55656</v>
      </c>
      <c r="M83" s="159">
        <f>VLOOKUP($A83,[0]!Data,91,FALSE)</f>
        <v>0</v>
      </c>
      <c r="N83" s="158">
        <f>VLOOKUP(A83,[0]!Data,102,FALSE)</f>
        <v>0</v>
      </c>
      <c r="O83" s="158">
        <f>VLOOKUP($A83,[0]!Data,98,FALSE)</f>
        <v>0</v>
      </c>
      <c r="P83" s="158">
        <f>VLOOKUP($A83,[0]!Data,106,FALSE)</f>
        <v>0</v>
      </c>
      <c r="Q83" s="159">
        <f>VLOOKUP($A83,[0]!Data,110,FALSE)</f>
        <v>0</v>
      </c>
    </row>
    <row r="84" spans="1:17" s="16" customFormat="1" x14ac:dyDescent="0.25">
      <c r="A84" s="55" t="s">
        <v>1100</v>
      </c>
      <c r="B84" s="55" t="s">
        <v>1995</v>
      </c>
      <c r="C84" s="158">
        <f>'Table 1'!D84/VLOOKUP(A84,[0]!Data,139,FALSE)</f>
        <v>1.9519249658308639E-2</v>
      </c>
      <c r="D84" s="158">
        <f>VLOOKUP(A84,[0]!Data,139,FALSE)/VLOOKUP(A84,[0]!Data,66,FALSE)</f>
        <v>59812.75</v>
      </c>
      <c r="E84" s="200">
        <f>VLOOKUP($A84,[0]!Data,69,FALSE)</f>
        <v>45240</v>
      </c>
      <c r="F84" s="158" t="s">
        <v>2260</v>
      </c>
      <c r="G84" s="158" t="s">
        <v>2213</v>
      </c>
      <c r="H84" s="200">
        <f>VLOOKUP($A84,[0]!Data,72,FALSE)</f>
        <v>0</v>
      </c>
      <c r="I84" s="198">
        <f>VLOOKUP($A84,[0]!Data,75,FALSE)</f>
        <v>0</v>
      </c>
      <c r="J84" s="198">
        <f>VLOOKUP($A84,[0]!Data,83,FALSE)</f>
        <v>0</v>
      </c>
      <c r="K84" s="198">
        <f>VLOOKUP($A84,[0]!Data,79,FALSE)</f>
        <v>0</v>
      </c>
      <c r="L84" s="198">
        <f>VLOOKUP($A84,[0]!Data,87,FALSE)</f>
        <v>0</v>
      </c>
      <c r="M84" s="199">
        <f>VLOOKUP($A84,[0]!Data,91,FALSE)</f>
        <v>0</v>
      </c>
      <c r="N84" s="158">
        <f>VLOOKUP(A84,[0]!Data,102,FALSE)</f>
        <v>0</v>
      </c>
      <c r="O84" s="158">
        <f>VLOOKUP($A84,[0]!Data,98,FALSE)</f>
        <v>0</v>
      </c>
      <c r="P84" s="158">
        <f>VLOOKUP($A84,[0]!Data,106,FALSE)</f>
        <v>0</v>
      </c>
      <c r="Q84" s="159">
        <f>VLOOKUP($A84,[0]!Data,110,FALSE)</f>
        <v>0</v>
      </c>
    </row>
    <row r="85" spans="1:17" s="16" customFormat="1" x14ac:dyDescent="0.25">
      <c r="A85" s="55" t="s">
        <v>1281</v>
      </c>
      <c r="B85" s="55" t="s">
        <v>1996</v>
      </c>
      <c r="C85" s="158">
        <f>'Table 1'!D85/VLOOKUP(A85,[0]!Data,139,FALSE)</f>
        <v>3.4792024487640502E-2</v>
      </c>
      <c r="D85" s="158">
        <f>VLOOKUP(A85,[0]!Data,139,FALSE)/VLOOKUP(A85,[0]!Data,66,FALSE)</f>
        <v>46620.248596631915</v>
      </c>
      <c r="E85" s="200">
        <f>VLOOKUP($A85,[0]!Data,69,FALSE)</f>
        <v>72758</v>
      </c>
      <c r="F85" s="158" t="s">
        <v>2261</v>
      </c>
      <c r="G85" s="158" t="s">
        <v>2181</v>
      </c>
      <c r="H85" s="200">
        <f>VLOOKUP($A85,[0]!Data,72,FALSE)</f>
        <v>0</v>
      </c>
      <c r="I85" s="158">
        <f>VLOOKUP($A85,[0]!Data,75,FALSE)</f>
        <v>56112</v>
      </c>
      <c r="J85" s="158">
        <f>VLOOKUP($A85,[0]!Data,83,FALSE)</f>
        <v>65073</v>
      </c>
      <c r="K85" s="158">
        <f>VLOOKUP($A85,[0]!Data,79,FALSE)</f>
        <v>65073</v>
      </c>
      <c r="L85" s="158">
        <f>VLOOKUP($A85,[0]!Data,87,FALSE)</f>
        <v>0</v>
      </c>
      <c r="M85" s="159">
        <f>VLOOKUP($A85,[0]!Data,91,FALSE)</f>
        <v>43835</v>
      </c>
      <c r="N85" s="158">
        <f>VLOOKUP(A85,[0]!Data,102,FALSE)</f>
        <v>0</v>
      </c>
      <c r="O85" s="158">
        <f>VLOOKUP($A85,[0]!Data,98,FALSE)</f>
        <v>0</v>
      </c>
      <c r="P85" s="158">
        <f>VLOOKUP($A85,[0]!Data,106,FALSE)</f>
        <v>0</v>
      </c>
      <c r="Q85" s="159">
        <f>VLOOKUP($A85,[0]!Data,110,FALSE)</f>
        <v>0</v>
      </c>
    </row>
    <row r="86" spans="1:17" s="16" customFormat="1" x14ac:dyDescent="0.25">
      <c r="A86" s="55" t="s">
        <v>1297</v>
      </c>
      <c r="B86" s="55" t="s">
        <v>1997</v>
      </c>
      <c r="C86" s="158">
        <f>'Table 1'!D86/VLOOKUP(A86,[0]!Data,139,FALSE)</f>
        <v>3.433485484208533E-2</v>
      </c>
      <c r="D86" s="158">
        <f>VLOOKUP(A86,[0]!Data,139,FALSE)/VLOOKUP(A86,[0]!Data,66,FALSE)</f>
        <v>53738.041841004182</v>
      </c>
      <c r="E86" s="200">
        <f>VLOOKUP($A86,[0]!Data,69,FALSE)</f>
        <v>113449</v>
      </c>
      <c r="F86" s="158" t="s">
        <v>2262</v>
      </c>
      <c r="G86" s="158" t="s">
        <v>2179</v>
      </c>
      <c r="H86" s="200">
        <f>VLOOKUP($A86,[0]!Data,72,FALSE)</f>
        <v>83310</v>
      </c>
      <c r="I86" s="198">
        <f>VLOOKUP($A86,[0]!Data,75,FALSE)</f>
        <v>0</v>
      </c>
      <c r="J86" s="198">
        <f>VLOOKUP($A86,[0]!Data,83,FALSE)</f>
        <v>65286</v>
      </c>
      <c r="K86" s="198">
        <f>VLOOKUP($A86,[0]!Data,79,FALSE)</f>
        <v>65160</v>
      </c>
      <c r="L86" s="198">
        <f>VLOOKUP($A86,[0]!Data,87,FALSE)</f>
        <v>63490</v>
      </c>
      <c r="M86" s="199">
        <f>VLOOKUP($A86,[0]!Data,91,FALSE)</f>
        <v>57008</v>
      </c>
      <c r="N86" s="158">
        <f>VLOOKUP(A86,[0]!Data,102,FALSE)</f>
        <v>42482</v>
      </c>
      <c r="O86" s="158">
        <f>VLOOKUP($A86,[0]!Data,98,FALSE)</f>
        <v>0</v>
      </c>
      <c r="P86" s="158">
        <f>VLOOKUP($A86,[0]!Data,106,FALSE)</f>
        <v>0</v>
      </c>
      <c r="Q86" s="159">
        <f>VLOOKUP($A86,[0]!Data,110,FALSE)</f>
        <v>0</v>
      </c>
    </row>
    <row r="87" spans="1:17" s="16" customFormat="1" x14ac:dyDescent="0.25">
      <c r="A87" s="55" t="s">
        <v>1341</v>
      </c>
      <c r="B87" s="55" t="s">
        <v>1998</v>
      </c>
      <c r="C87" s="158">
        <f>'Table 1'!D87/VLOOKUP(A87,[0]!Data,139,FALSE)</f>
        <v>2.604309659926091E-2</v>
      </c>
      <c r="D87" s="158">
        <f>VLOOKUP(A87,[0]!Data,139,FALSE)/VLOOKUP(A87,[0]!Data,66,FALSE)</f>
        <v>51448.375</v>
      </c>
      <c r="E87" s="200">
        <f>VLOOKUP($A87,[0]!Data,69,FALSE)</f>
        <v>56613</v>
      </c>
      <c r="F87" s="158" t="s">
        <v>2263</v>
      </c>
      <c r="G87" s="158" t="s">
        <v>2203</v>
      </c>
      <c r="H87" s="200">
        <f>VLOOKUP($A87,[0]!Data,72,FALSE)</f>
        <v>0</v>
      </c>
      <c r="I87" s="158">
        <f>VLOOKUP($A87,[0]!Data,75,FALSE)</f>
        <v>0</v>
      </c>
      <c r="J87" s="158">
        <f>VLOOKUP($A87,[0]!Data,83,FALSE)</f>
        <v>0</v>
      </c>
      <c r="K87" s="158">
        <f>VLOOKUP($A87,[0]!Data,79,FALSE)</f>
        <v>0</v>
      </c>
      <c r="L87" s="158">
        <f>VLOOKUP($A87,[0]!Data,87,FALSE)</f>
        <v>0</v>
      </c>
      <c r="M87" s="159">
        <f>VLOOKUP($A87,[0]!Data,91,FALSE)</f>
        <v>0</v>
      </c>
      <c r="N87" s="158">
        <f>VLOOKUP(A87,[0]!Data,102,FALSE)</f>
        <v>0</v>
      </c>
      <c r="O87" s="158">
        <f>VLOOKUP($A87,[0]!Data,98,FALSE)</f>
        <v>0</v>
      </c>
      <c r="P87" s="158">
        <f>VLOOKUP($A87,[0]!Data,106,FALSE)</f>
        <v>0</v>
      </c>
      <c r="Q87" s="159">
        <f>VLOOKUP($A87,[0]!Data,110,FALSE)</f>
        <v>0</v>
      </c>
    </row>
    <row r="88" spans="1:17" s="16" customFormat="1" x14ac:dyDescent="0.25">
      <c r="A88" s="55" t="s">
        <v>1409</v>
      </c>
      <c r="B88" s="55" t="s">
        <v>1999</v>
      </c>
      <c r="C88" s="158">
        <f>'Table 1'!D88/VLOOKUP(A88,[0]!Data,139,FALSE)</f>
        <v>2.5562458492411677E-2</v>
      </c>
      <c r="D88" s="158">
        <f>VLOOKUP(A88,[0]!Data,139,FALSE)/VLOOKUP(A88,[0]!Data,66,FALSE)</f>
        <v>56605</v>
      </c>
      <c r="E88" s="200">
        <f>VLOOKUP($A88,[0]!Data,69,FALSE)</f>
        <v>87863</v>
      </c>
      <c r="F88" s="158" t="s">
        <v>2264</v>
      </c>
      <c r="G88" s="158" t="s">
        <v>2217</v>
      </c>
      <c r="H88" s="200">
        <f>VLOOKUP($A88,[0]!Data,72,FALSE)</f>
        <v>62367</v>
      </c>
      <c r="I88" s="198">
        <f>VLOOKUP($A88,[0]!Data,75,FALSE)</f>
        <v>0</v>
      </c>
      <c r="J88" s="198">
        <f>VLOOKUP($A88,[0]!Data,83,FALSE)</f>
        <v>0</v>
      </c>
      <c r="K88" s="198">
        <f>VLOOKUP($A88,[0]!Data,79,FALSE)</f>
        <v>44500</v>
      </c>
      <c r="L88" s="198">
        <f>VLOOKUP($A88,[0]!Data,87,FALSE)</f>
        <v>49700</v>
      </c>
      <c r="M88" s="199">
        <f>VLOOKUP($A88,[0]!Data,91,FALSE)</f>
        <v>49700</v>
      </c>
      <c r="N88" s="158">
        <f>VLOOKUP(A88,[0]!Data,102,FALSE)</f>
        <v>44500</v>
      </c>
      <c r="O88" s="158">
        <f>VLOOKUP($A88,[0]!Data,98,FALSE)</f>
        <v>0</v>
      </c>
      <c r="P88" s="158">
        <f>VLOOKUP($A88,[0]!Data,106,FALSE)</f>
        <v>0</v>
      </c>
      <c r="Q88" s="159">
        <f>VLOOKUP($A88,[0]!Data,110,FALSE)</f>
        <v>0</v>
      </c>
    </row>
    <row r="89" spans="1:17" s="16" customFormat="1" x14ac:dyDescent="0.25">
      <c r="A89" s="55" t="s">
        <v>1245</v>
      </c>
      <c r="B89" s="55" t="s">
        <v>2000</v>
      </c>
      <c r="C89" s="158">
        <f>'Table 1'!D89/VLOOKUP(A89,[0]!Data,139,FALSE)</f>
        <v>3.5950901693424235E-2</v>
      </c>
      <c r="D89" s="158">
        <f>VLOOKUP(A89,[0]!Data,139,FALSE)/VLOOKUP(A89,[0]!Data,66,FALSE)</f>
        <v>34236.23529411765</v>
      </c>
      <c r="E89" s="200">
        <f>VLOOKUP($A89,[0]!Data,69,FALSE)</f>
        <v>44885</v>
      </c>
      <c r="F89" s="158" t="s">
        <v>2265</v>
      </c>
      <c r="G89" s="158" t="s">
        <v>2206</v>
      </c>
      <c r="H89" s="200">
        <f>VLOOKUP($A89,[0]!Data,72,FALSE)</f>
        <v>0</v>
      </c>
      <c r="I89" s="158">
        <f>VLOOKUP($A89,[0]!Data,75,FALSE)</f>
        <v>0</v>
      </c>
      <c r="J89" s="158">
        <f>VLOOKUP($A89,[0]!Data,83,FALSE)</f>
        <v>0</v>
      </c>
      <c r="K89" s="158">
        <f>VLOOKUP($A89,[0]!Data,79,FALSE)</f>
        <v>0</v>
      </c>
      <c r="L89" s="158">
        <f>VLOOKUP($A89,[0]!Data,87,FALSE)</f>
        <v>0</v>
      </c>
      <c r="M89" s="159">
        <f>VLOOKUP($A89,[0]!Data,91,FALSE)</f>
        <v>0</v>
      </c>
      <c r="N89" s="158">
        <f>VLOOKUP(A89,[0]!Data,102,FALSE)</f>
        <v>0</v>
      </c>
      <c r="O89" s="158">
        <f>VLOOKUP($A89,[0]!Data,98,FALSE)</f>
        <v>0</v>
      </c>
      <c r="P89" s="158">
        <f>VLOOKUP($A89,[0]!Data,106,FALSE)</f>
        <v>0</v>
      </c>
      <c r="Q89" s="159">
        <f>VLOOKUP($A89,[0]!Data,110,FALSE)</f>
        <v>0</v>
      </c>
    </row>
    <row r="90" spans="1:17" s="16" customFormat="1" x14ac:dyDescent="0.25">
      <c r="A90" s="55" t="s">
        <v>1613</v>
      </c>
      <c r="B90" s="55" t="s">
        <v>2001</v>
      </c>
      <c r="C90" s="158">
        <f>'Table 1'!D90/VLOOKUP(A90,[0]!Data,139,FALSE)</f>
        <v>7.2921394976000309E-2</v>
      </c>
      <c r="D90" s="158">
        <f>VLOOKUP(A90,[0]!Data,139,FALSE)/VLOOKUP(A90,[0]!Data,66,FALSE)</f>
        <v>41007.128712871287</v>
      </c>
      <c r="E90" s="200">
        <f>VLOOKUP($A90,[0]!Data,69,FALSE)</f>
        <v>47943</v>
      </c>
      <c r="F90" s="158" t="s">
        <v>2266</v>
      </c>
      <c r="G90" s="158" t="s">
        <v>2201</v>
      </c>
      <c r="H90" s="200">
        <f>VLOOKUP($A90,[0]!Data,72,FALSE)</f>
        <v>0</v>
      </c>
      <c r="I90" s="198">
        <f>VLOOKUP($A90,[0]!Data,75,FALSE)</f>
        <v>0</v>
      </c>
      <c r="J90" s="198">
        <f>VLOOKUP($A90,[0]!Data,83,FALSE)</f>
        <v>0</v>
      </c>
      <c r="K90" s="198">
        <f>VLOOKUP($A90,[0]!Data,79,FALSE)</f>
        <v>0</v>
      </c>
      <c r="L90" s="198">
        <f>VLOOKUP($A90,[0]!Data,87,FALSE)</f>
        <v>0</v>
      </c>
      <c r="M90" s="199">
        <f>VLOOKUP($A90,[0]!Data,91,FALSE)</f>
        <v>0</v>
      </c>
      <c r="N90" s="158">
        <f>VLOOKUP(A90,[0]!Data,102,FALSE)</f>
        <v>0</v>
      </c>
      <c r="O90" s="158">
        <f>VLOOKUP($A90,[0]!Data,98,FALSE)</f>
        <v>0</v>
      </c>
      <c r="P90" s="158">
        <f>VLOOKUP($A90,[0]!Data,106,FALSE)</f>
        <v>39683</v>
      </c>
      <c r="Q90" s="159">
        <f>VLOOKUP($A90,[0]!Data,110,FALSE)</f>
        <v>0</v>
      </c>
    </row>
    <row r="91" spans="1:17" s="16" customFormat="1" x14ac:dyDescent="0.25">
      <c r="A91" s="55" t="s">
        <v>1742</v>
      </c>
      <c r="B91" s="55" t="s">
        <v>2002</v>
      </c>
      <c r="C91" s="158">
        <f>'Table 1'!D91/VLOOKUP(A91,[0]!Data,139,FALSE)</f>
        <v>2.3678253909511063E-2</v>
      </c>
      <c r="D91" s="158">
        <f>VLOOKUP(A91,[0]!Data,139,FALSE)/VLOOKUP(A91,[0]!Data,66,FALSE)</f>
        <v>55593.779904306226</v>
      </c>
      <c r="E91" s="200">
        <f>VLOOKUP($A91,[0]!Data,69,FALSE)</f>
        <v>94560</v>
      </c>
      <c r="F91" s="158" t="s">
        <v>2267</v>
      </c>
      <c r="G91" s="158" t="s">
        <v>2268</v>
      </c>
      <c r="H91" s="200">
        <f>VLOOKUP($A91,[0]!Data,72,FALSE)</f>
        <v>53555</v>
      </c>
      <c r="I91" s="158">
        <f>VLOOKUP($A91,[0]!Data,75,FALSE)</f>
        <v>0</v>
      </c>
      <c r="J91" s="158">
        <f>VLOOKUP($A91,[0]!Data,83,FALSE)</f>
        <v>0</v>
      </c>
      <c r="K91" s="158">
        <f>VLOOKUP($A91,[0]!Data,79,FALSE)</f>
        <v>0</v>
      </c>
      <c r="L91" s="158">
        <f>VLOOKUP($A91,[0]!Data,87,FALSE)</f>
        <v>0</v>
      </c>
      <c r="M91" s="159">
        <f>VLOOKUP($A91,[0]!Data,91,FALSE)</f>
        <v>0</v>
      </c>
      <c r="N91" s="158">
        <f>VLOOKUP(A91,[0]!Data,102,FALSE)</f>
        <v>0</v>
      </c>
      <c r="O91" s="158">
        <f>VLOOKUP($A91,[0]!Data,98,FALSE)</f>
        <v>0</v>
      </c>
      <c r="P91" s="158">
        <f>VLOOKUP($A91,[0]!Data,106,FALSE)</f>
        <v>0</v>
      </c>
      <c r="Q91" s="159">
        <f>VLOOKUP($A91,[0]!Data,110,FALSE)</f>
        <v>0</v>
      </c>
    </row>
    <row r="92" spans="1:17" s="16" customFormat="1" x14ac:dyDescent="0.25">
      <c r="A92" s="55" t="s">
        <v>1178</v>
      </c>
      <c r="B92" s="55" t="s">
        <v>2003</v>
      </c>
      <c r="C92" s="158">
        <f>'Table 1'!D92/VLOOKUP(A92,[0]!Data,139,FALSE)</f>
        <v>3.4442759311360961E-2</v>
      </c>
      <c r="D92" s="158">
        <f>VLOOKUP(A92,[0]!Data,139,FALSE)/VLOOKUP(A92,[0]!Data,66,FALSE)</f>
        <v>39655.857142857145</v>
      </c>
      <c r="E92" s="200">
        <f>VLOOKUP($A92,[0]!Data,69,FALSE)</f>
        <v>58822</v>
      </c>
      <c r="F92" s="158" t="s">
        <v>2269</v>
      </c>
      <c r="G92" s="158" t="s">
        <v>2217</v>
      </c>
      <c r="H92" s="200">
        <f>VLOOKUP($A92,[0]!Data,72,FALSE)</f>
        <v>0</v>
      </c>
      <c r="I92" s="198">
        <f>VLOOKUP($A92,[0]!Data,75,FALSE)</f>
        <v>0</v>
      </c>
      <c r="J92" s="198">
        <f>VLOOKUP($A92,[0]!Data,83,FALSE)</f>
        <v>0</v>
      </c>
      <c r="K92" s="198">
        <f>VLOOKUP($A92,[0]!Data,79,FALSE)</f>
        <v>30604</v>
      </c>
      <c r="L92" s="198">
        <f>VLOOKUP($A92,[0]!Data,87,FALSE)</f>
        <v>30604</v>
      </c>
      <c r="M92" s="199">
        <f>VLOOKUP($A92,[0]!Data,91,FALSE)</f>
        <v>0</v>
      </c>
      <c r="N92" s="158">
        <f>VLOOKUP(A92,[0]!Data,102,FALSE)</f>
        <v>0</v>
      </c>
      <c r="O92" s="158">
        <f>VLOOKUP($A92,[0]!Data,98,FALSE)</f>
        <v>0</v>
      </c>
      <c r="P92" s="158">
        <f>VLOOKUP($A92,[0]!Data,106,FALSE)</f>
        <v>0</v>
      </c>
      <c r="Q92" s="159">
        <f>VLOOKUP($A92,[0]!Data,110,FALSE)</f>
        <v>0</v>
      </c>
    </row>
    <row r="93" spans="1:17" s="16" customFormat="1" x14ac:dyDescent="0.25">
      <c r="A93" s="652" t="s">
        <v>1882</v>
      </c>
      <c r="B93" s="653"/>
      <c r="C93" s="190"/>
      <c r="D93" s="190"/>
      <c r="E93" s="171">
        <f>AVERAGE(E82:E92)</f>
        <v>71119.181818181823</v>
      </c>
      <c r="F93" s="172" t="s">
        <v>1898</v>
      </c>
      <c r="G93" s="173" t="s">
        <v>1898</v>
      </c>
      <c r="H93" s="173"/>
      <c r="I93" s="174">
        <f t="shared" ref="I93:Q93" si="0">AVERAGEIF(I82:I92,"&gt;-1",I82:I92)</f>
        <v>5101.090909090909</v>
      </c>
      <c r="J93" s="174"/>
      <c r="K93" s="174"/>
      <c r="L93" s="174"/>
      <c r="M93" s="174">
        <f t="shared" si="0"/>
        <v>13685.727272727272</v>
      </c>
      <c r="N93" s="174">
        <f t="shared" si="0"/>
        <v>12889.09090909091</v>
      </c>
      <c r="O93" s="174"/>
      <c r="P93" s="174"/>
      <c r="Q93" s="175">
        <f t="shared" si="0"/>
        <v>5547</v>
      </c>
    </row>
    <row r="94" spans="1:17" s="16" customFormat="1" ht="15.75" thickBot="1" x14ac:dyDescent="0.3">
      <c r="A94" s="23"/>
      <c r="B94" s="65"/>
      <c r="C94" s="24"/>
      <c r="D94" s="24"/>
      <c r="E94" s="176"/>
      <c r="F94" s="177"/>
      <c r="G94" s="178"/>
      <c r="H94" s="178"/>
      <c r="I94" s="179"/>
      <c r="J94" s="179"/>
      <c r="K94" s="179"/>
      <c r="L94" s="179"/>
      <c r="M94" s="180"/>
      <c r="N94" s="176"/>
      <c r="O94" s="176"/>
      <c r="P94" s="176"/>
      <c r="Q94" s="181"/>
    </row>
    <row r="95" spans="1:17" s="16" customFormat="1" ht="15.75" thickTop="1" x14ac:dyDescent="0.25">
      <c r="A95" s="654" t="s">
        <v>1883</v>
      </c>
      <c r="B95" s="655"/>
      <c r="C95" s="191"/>
      <c r="D95" s="191"/>
      <c r="E95" s="182">
        <f>AVERAGE(E8:E57,E59:E65,E68:E79,E82:E90,E92)</f>
        <v>77512.455696202538</v>
      </c>
      <c r="F95" s="182" t="s">
        <v>1898</v>
      </c>
      <c r="G95" s="183" t="s">
        <v>1898</v>
      </c>
      <c r="H95" s="183"/>
      <c r="I95" s="184">
        <f>'[1]all data (unlinked)'!AN85</f>
        <v>11.568169014084503</v>
      </c>
      <c r="J95" s="184"/>
      <c r="K95" s="184"/>
      <c r="L95" s="184"/>
      <c r="M95" s="184">
        <f>'[1]all data (unlinked)'!AO85</f>
        <v>503.02869565217384</v>
      </c>
      <c r="N95" s="184">
        <f>'[1]all data (unlinked)'!IW85</f>
        <v>14.746115500000002</v>
      </c>
      <c r="O95" s="184"/>
      <c r="P95" s="184"/>
      <c r="Q95" s="185">
        <f>'[1]all data (unlinked)'!KK85</f>
        <v>33798.962500000001</v>
      </c>
    </row>
  </sheetData>
  <mergeCells count="9">
    <mergeCell ref="A95:B95"/>
    <mergeCell ref="N4:Q4"/>
    <mergeCell ref="I4:M4"/>
    <mergeCell ref="B4:B6"/>
    <mergeCell ref="E4:G4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5"/>
  <sheetViews>
    <sheetView workbookViewId="0">
      <selection activeCell="T24" sqref="T24"/>
    </sheetView>
  </sheetViews>
  <sheetFormatPr defaultColWidth="8.85546875" defaultRowHeight="15" x14ac:dyDescent="0.25"/>
  <cols>
    <col min="2" max="2" width="18.28515625" customWidth="1"/>
    <col min="3" max="3" width="12.7109375" customWidth="1"/>
    <col min="4" max="5" width="15.28515625" customWidth="1"/>
    <col min="6" max="6" width="13.28515625" customWidth="1"/>
    <col min="7" max="7" width="12.42578125" customWidth="1"/>
    <col min="8" max="8" width="13.28515625" customWidth="1"/>
    <col min="9" max="9" width="13.42578125" customWidth="1"/>
    <col min="10" max="10" width="10.7109375" customWidth="1"/>
    <col min="11" max="11" width="11.85546875" customWidth="1"/>
    <col min="12" max="12" width="13.85546875" customWidth="1"/>
    <col min="13" max="13" width="14.140625" customWidth="1"/>
  </cols>
  <sheetData>
    <row r="1" spans="1:13" ht="15.75" x14ac:dyDescent="0.25">
      <c r="A1" s="131"/>
      <c r="B1" s="132"/>
      <c r="C1" s="134"/>
      <c r="D1" s="134"/>
      <c r="E1" s="134"/>
      <c r="F1" s="132"/>
      <c r="G1" s="132"/>
      <c r="H1" s="132"/>
      <c r="M1" s="15" t="s">
        <v>2271</v>
      </c>
    </row>
    <row r="2" spans="1:13" ht="15.75" x14ac:dyDescent="0.25">
      <c r="A2" s="207" t="s">
        <v>1908</v>
      </c>
      <c r="B2" s="18"/>
      <c r="C2" s="139"/>
      <c r="D2" s="139"/>
      <c r="E2" s="139"/>
      <c r="F2" s="18"/>
      <c r="G2" s="18"/>
      <c r="H2" s="18"/>
      <c r="M2" s="22" t="s">
        <v>2004</v>
      </c>
    </row>
    <row r="3" spans="1:13" ht="16.5" thickBot="1" x14ac:dyDescent="0.3">
      <c r="A3" s="142"/>
      <c r="B3" s="18"/>
      <c r="C3" s="139"/>
      <c r="D3" s="139"/>
      <c r="E3" s="139"/>
      <c r="F3" s="18"/>
      <c r="G3" s="18"/>
      <c r="H3" s="18"/>
      <c r="I3" s="18"/>
    </row>
    <row r="4" spans="1:13" ht="15.75" thickTop="1" x14ac:dyDescent="0.25">
      <c r="A4" s="96"/>
      <c r="B4" s="668"/>
      <c r="C4" s="208"/>
      <c r="D4" s="209"/>
      <c r="E4" s="210"/>
      <c r="F4" s="209"/>
      <c r="G4" s="209"/>
      <c r="H4" s="210"/>
      <c r="I4" s="208"/>
      <c r="J4" s="209"/>
      <c r="K4" s="209"/>
      <c r="L4" s="211"/>
      <c r="M4" s="212" t="s">
        <v>1873</v>
      </c>
    </row>
    <row r="5" spans="1:13" x14ac:dyDescent="0.25">
      <c r="A5" s="99"/>
      <c r="B5" s="669"/>
      <c r="C5" s="213" t="s">
        <v>1909</v>
      </c>
      <c r="D5" s="214"/>
      <c r="E5" s="215"/>
      <c r="F5" s="214" t="s">
        <v>1910</v>
      </c>
      <c r="G5" s="214"/>
      <c r="H5" s="215"/>
      <c r="I5" s="214" t="s">
        <v>1911</v>
      </c>
      <c r="J5" s="214"/>
      <c r="K5" s="214"/>
      <c r="L5" s="216" t="s">
        <v>803</v>
      </c>
      <c r="M5" s="217" t="s">
        <v>1912</v>
      </c>
    </row>
    <row r="6" spans="1:13" ht="15.75" thickBot="1" x14ac:dyDescent="0.3">
      <c r="A6" s="218"/>
      <c r="B6" s="219"/>
      <c r="C6" s="220" t="s">
        <v>904</v>
      </c>
      <c r="D6" s="220" t="s">
        <v>1913</v>
      </c>
      <c r="E6" s="220" t="s">
        <v>1914</v>
      </c>
      <c r="F6" s="221" t="s">
        <v>1915</v>
      </c>
      <c r="G6" s="221" t="s">
        <v>1916</v>
      </c>
      <c r="H6" s="222" t="s">
        <v>1914</v>
      </c>
      <c r="I6" s="220" t="s">
        <v>456</v>
      </c>
      <c r="J6" s="220" t="s">
        <v>1916</v>
      </c>
      <c r="K6" s="220" t="s">
        <v>1917</v>
      </c>
      <c r="L6" s="223" t="s">
        <v>1918</v>
      </c>
      <c r="M6" s="224" t="s">
        <v>1919</v>
      </c>
    </row>
    <row r="7" spans="1:13" ht="16.5" thickTop="1" thickBot="1" x14ac:dyDescent="0.3">
      <c r="A7" s="650" t="s">
        <v>1863</v>
      </c>
      <c r="B7" s="651"/>
      <c r="C7" s="153"/>
      <c r="D7" s="153"/>
      <c r="E7" s="153"/>
      <c r="F7" s="225"/>
      <c r="G7" s="225"/>
      <c r="H7" s="225"/>
      <c r="I7" s="225"/>
      <c r="J7" s="226"/>
      <c r="K7" s="226"/>
      <c r="L7" s="226"/>
      <c r="M7" s="227"/>
    </row>
    <row r="8" spans="1:13" ht="15.75" thickTop="1" x14ac:dyDescent="0.25">
      <c r="A8" s="40" t="s">
        <v>666</v>
      </c>
      <c r="B8" s="40" t="s">
        <v>1927</v>
      </c>
      <c r="C8" s="228">
        <f>VLOOKUP($A8,[0]!Data,126,FALSE)</f>
        <v>232000</v>
      </c>
      <c r="D8" s="228">
        <f>VLOOKUP($A8,[0]!Data,127,FALSE)</f>
        <v>2569447</v>
      </c>
      <c r="E8" s="228">
        <f>VLOOKUP($A8,[0]!Data,128,FALSE)</f>
        <v>2801447</v>
      </c>
      <c r="F8" s="228">
        <f>VLOOKUP($A8,[0]!Data,129,FALSE)</f>
        <v>180887</v>
      </c>
      <c r="G8" s="228">
        <f>VLOOKUP($A8,[0]!Data,130,FALSE)</f>
        <v>0</v>
      </c>
      <c r="H8" s="228">
        <f>VLOOKUP($A8,[0]!Data,131,FALSE)</f>
        <v>180887</v>
      </c>
      <c r="I8" s="228">
        <f>VLOOKUP($A8,[0]!Data,132,FALSE)</f>
        <v>27383</v>
      </c>
      <c r="J8" s="228">
        <f>VLOOKUP($A8,[0]!Data,133,FALSE)</f>
        <v>9999</v>
      </c>
      <c r="K8" s="228">
        <f>VLOOKUP($A8,[0]!Data,134,FALSE)</f>
        <v>37382</v>
      </c>
      <c r="L8" s="228">
        <f>VLOOKUP($A8,[0]!Data,135,FALSE)</f>
        <v>101073</v>
      </c>
      <c r="M8" s="229">
        <f>VLOOKUP($A8,[0]!Data,136,FALSE)</f>
        <v>3120789</v>
      </c>
    </row>
    <row r="9" spans="1:13" x14ac:dyDescent="0.25">
      <c r="A9" s="40" t="s">
        <v>711</v>
      </c>
      <c r="B9" s="40" t="s">
        <v>1928</v>
      </c>
      <c r="C9" s="228">
        <f>VLOOKUP($A9,[0]!Data,126,FALSE)</f>
        <v>0</v>
      </c>
      <c r="D9" s="228">
        <f>VLOOKUP($A9,[0]!Data,127,FALSE)</f>
        <v>492390</v>
      </c>
      <c r="E9" s="228">
        <f>VLOOKUP($A9,[0]!Data,128,FALSE)</f>
        <v>492390</v>
      </c>
      <c r="F9" s="228">
        <f>VLOOKUP($A9,[0]!Data,129,FALSE)</f>
        <v>96220</v>
      </c>
      <c r="G9" s="228">
        <f>VLOOKUP($A9,[0]!Data,130,FALSE)</f>
        <v>0</v>
      </c>
      <c r="H9" s="228">
        <f>VLOOKUP($A9,[0]!Data,131,FALSE)</f>
        <v>96220</v>
      </c>
      <c r="I9" s="228">
        <f>VLOOKUP($A9,[0]!Data,132,FALSE)</f>
        <v>6609</v>
      </c>
      <c r="J9" s="228">
        <f>VLOOKUP($A9,[0]!Data,133,FALSE)</f>
        <v>0</v>
      </c>
      <c r="K9" s="228">
        <f>VLOOKUP($A9,[0]!Data,134,FALSE)</f>
        <v>6609</v>
      </c>
      <c r="L9" s="228">
        <f>VLOOKUP($A9,[0]!Data,135,FALSE)</f>
        <v>12017</v>
      </c>
      <c r="M9" s="230">
        <f>VLOOKUP($A9,[0]!Data,136,FALSE)</f>
        <v>607236</v>
      </c>
    </row>
    <row r="10" spans="1:13" x14ac:dyDescent="0.25">
      <c r="A10" s="40" t="s">
        <v>775</v>
      </c>
      <c r="B10" s="40" t="s">
        <v>1929</v>
      </c>
      <c r="C10" s="228">
        <f>VLOOKUP($A10,[0]!Data,126,FALSE)</f>
        <v>15000</v>
      </c>
      <c r="D10" s="228">
        <f>VLOOKUP($A10,[0]!Data,127,FALSE)</f>
        <v>405071</v>
      </c>
      <c r="E10" s="228">
        <f>VLOOKUP($A10,[0]!Data,128,FALSE)</f>
        <v>420071</v>
      </c>
      <c r="F10" s="228">
        <f>VLOOKUP($A10,[0]!Data,129,FALSE)</f>
        <v>95350</v>
      </c>
      <c r="G10" s="228">
        <f>VLOOKUP($A10,[0]!Data,130,FALSE)</f>
        <v>0</v>
      </c>
      <c r="H10" s="228">
        <f>VLOOKUP($A10,[0]!Data,131,FALSE)</f>
        <v>95350</v>
      </c>
      <c r="I10" s="228">
        <f>VLOOKUP($A10,[0]!Data,132,FALSE)</f>
        <v>26049</v>
      </c>
      <c r="J10" s="228">
        <f>VLOOKUP($A10,[0]!Data,133,FALSE)</f>
        <v>0</v>
      </c>
      <c r="K10" s="228">
        <f>VLOOKUP($A10,[0]!Data,134,FALSE)</f>
        <v>26049</v>
      </c>
      <c r="L10" s="228">
        <f>VLOOKUP($A10,[0]!Data,135,FALSE)</f>
        <v>8000</v>
      </c>
      <c r="M10" s="230">
        <f>VLOOKUP($A10,[0]!Data,136,FALSE)</f>
        <v>549470</v>
      </c>
    </row>
    <row r="11" spans="1:13" x14ac:dyDescent="0.25">
      <c r="A11" s="40" t="s">
        <v>804</v>
      </c>
      <c r="B11" s="40" t="s">
        <v>1930</v>
      </c>
      <c r="C11" s="228">
        <f>VLOOKUP($A11,[0]!Data,126,FALSE)</f>
        <v>0</v>
      </c>
      <c r="D11" s="228">
        <f>VLOOKUP($A11,[0]!Data,127,FALSE)</f>
        <v>1177800</v>
      </c>
      <c r="E11" s="228">
        <f>VLOOKUP($A11,[0]!Data,128,FALSE)</f>
        <v>1177800</v>
      </c>
      <c r="F11" s="228">
        <f>VLOOKUP($A11,[0]!Data,129,FALSE)</f>
        <v>142232</v>
      </c>
      <c r="G11" s="228">
        <f>VLOOKUP($A11,[0]!Data,130,FALSE)</f>
        <v>0</v>
      </c>
      <c r="H11" s="228">
        <f>VLOOKUP($A11,[0]!Data,131,FALSE)</f>
        <v>142232</v>
      </c>
      <c r="I11" s="228">
        <f>VLOOKUP($A11,[0]!Data,132,FALSE)</f>
        <v>0</v>
      </c>
      <c r="J11" s="228">
        <f>VLOOKUP($A11,[0]!Data,133,FALSE)</f>
        <v>0</v>
      </c>
      <c r="K11" s="228">
        <f>VLOOKUP($A11,[0]!Data,134,FALSE)</f>
        <v>0</v>
      </c>
      <c r="L11" s="228">
        <f>VLOOKUP($A11,[0]!Data,135,FALSE)</f>
        <v>0</v>
      </c>
      <c r="M11" s="230">
        <f>VLOOKUP($A11,[0]!Data,136,FALSE)</f>
        <v>1320032</v>
      </c>
    </row>
    <row r="12" spans="1:13" x14ac:dyDescent="0.25">
      <c r="A12" s="40" t="s">
        <v>818</v>
      </c>
      <c r="B12" s="40" t="s">
        <v>1931</v>
      </c>
      <c r="C12" s="228">
        <f>VLOOKUP($A12,[0]!Data,126,FALSE)</f>
        <v>0</v>
      </c>
      <c r="D12" s="228">
        <f>VLOOKUP($A12,[0]!Data,127,FALSE)</f>
        <v>4716312</v>
      </c>
      <c r="E12" s="228">
        <f>VLOOKUP($A12,[0]!Data,128,FALSE)</f>
        <v>4716312</v>
      </c>
      <c r="F12" s="228">
        <f>VLOOKUP($A12,[0]!Data,129,FALSE)</f>
        <v>228020</v>
      </c>
      <c r="G12" s="228">
        <f>VLOOKUP($A12,[0]!Data,130,FALSE)</f>
        <v>0</v>
      </c>
      <c r="H12" s="228">
        <f>VLOOKUP($A12,[0]!Data,131,FALSE)</f>
        <v>228020</v>
      </c>
      <c r="I12" s="228">
        <f>VLOOKUP($A12,[0]!Data,132,FALSE)</f>
        <v>0</v>
      </c>
      <c r="J12" s="228">
        <f>VLOOKUP($A12,[0]!Data,133,FALSE)</f>
        <v>0</v>
      </c>
      <c r="K12" s="228">
        <f>VLOOKUP($A12,[0]!Data,134,FALSE)</f>
        <v>0</v>
      </c>
      <c r="L12" s="228">
        <f>VLOOKUP($A12,[0]!Data,135,FALSE)</f>
        <v>227500</v>
      </c>
      <c r="M12" s="230">
        <f>VLOOKUP($A12,[0]!Data,136,FALSE)</f>
        <v>5171832</v>
      </c>
    </row>
    <row r="13" spans="1:13" x14ac:dyDescent="0.25">
      <c r="A13" s="40" t="s">
        <v>831</v>
      </c>
      <c r="B13" s="40" t="s">
        <v>1932</v>
      </c>
      <c r="C13" s="228">
        <f>VLOOKUP($A13,[0]!Data,126,FALSE)</f>
        <v>277250</v>
      </c>
      <c r="D13" s="228">
        <f>VLOOKUP($A13,[0]!Data,127,FALSE)</f>
        <v>815522</v>
      </c>
      <c r="E13" s="228">
        <f>VLOOKUP($A13,[0]!Data,128,FALSE)</f>
        <v>1092772</v>
      </c>
      <c r="F13" s="228">
        <f>VLOOKUP($A13,[0]!Data,129,FALSE)</f>
        <v>139533</v>
      </c>
      <c r="G13" s="228">
        <f>VLOOKUP($A13,[0]!Data,130,FALSE)</f>
        <v>0</v>
      </c>
      <c r="H13" s="228">
        <f>VLOOKUP($A13,[0]!Data,131,FALSE)</f>
        <v>139533</v>
      </c>
      <c r="I13" s="228">
        <f>VLOOKUP($A13,[0]!Data,132,FALSE)</f>
        <v>21547</v>
      </c>
      <c r="J13" s="228">
        <f>VLOOKUP($A13,[0]!Data,133,FALSE)</f>
        <v>5316</v>
      </c>
      <c r="K13" s="228">
        <f>VLOOKUP($A13,[0]!Data,134,FALSE)</f>
        <v>26863</v>
      </c>
      <c r="L13" s="228">
        <f>VLOOKUP($A13,[0]!Data,135,FALSE)</f>
        <v>44834</v>
      </c>
      <c r="M13" s="230">
        <f>VLOOKUP($A13,[0]!Data,136,FALSE)</f>
        <v>1304002</v>
      </c>
    </row>
    <row r="14" spans="1:13" x14ac:dyDescent="0.25">
      <c r="A14" s="40" t="s">
        <v>843</v>
      </c>
      <c r="B14" s="40" t="s">
        <v>1933</v>
      </c>
      <c r="C14" s="228">
        <f>VLOOKUP($A14,[0]!Data,126,FALSE)</f>
        <v>0</v>
      </c>
      <c r="D14" s="228">
        <f>VLOOKUP($A14,[0]!Data,127,FALSE)</f>
        <v>3114661</v>
      </c>
      <c r="E14" s="228">
        <f>VLOOKUP($A14,[0]!Data,128,FALSE)</f>
        <v>3114661</v>
      </c>
      <c r="F14" s="228">
        <f>VLOOKUP($A14,[0]!Data,129,FALSE)</f>
        <v>196686</v>
      </c>
      <c r="G14" s="228">
        <f>VLOOKUP($A14,[0]!Data,130,FALSE)</f>
        <v>0</v>
      </c>
      <c r="H14" s="228">
        <f>VLOOKUP($A14,[0]!Data,131,FALSE)</f>
        <v>196686</v>
      </c>
      <c r="I14" s="228">
        <f>VLOOKUP($A14,[0]!Data,132,FALSE)</f>
        <v>26608</v>
      </c>
      <c r="J14" s="228">
        <f>VLOOKUP($A14,[0]!Data,133,FALSE)</f>
        <v>0</v>
      </c>
      <c r="K14" s="228">
        <f>VLOOKUP($A14,[0]!Data,134,FALSE)</f>
        <v>26608</v>
      </c>
      <c r="L14" s="228">
        <f>VLOOKUP($A14,[0]!Data,135,FALSE)</f>
        <v>0</v>
      </c>
      <c r="M14" s="230">
        <f>VLOOKUP($A14,[0]!Data,136,FALSE)</f>
        <v>3337955</v>
      </c>
    </row>
    <row r="15" spans="1:13" x14ac:dyDescent="0.25">
      <c r="A15" s="40" t="s">
        <v>855</v>
      </c>
      <c r="B15" s="40" t="s">
        <v>1934</v>
      </c>
      <c r="C15" s="228">
        <f>VLOOKUP($A15,[0]!Data,126,FALSE)</f>
        <v>0</v>
      </c>
      <c r="D15" s="228">
        <f>VLOOKUP($A15,[0]!Data,127,FALSE)</f>
        <v>976852</v>
      </c>
      <c r="E15" s="228">
        <f>VLOOKUP($A15,[0]!Data,128,FALSE)</f>
        <v>976852</v>
      </c>
      <c r="F15" s="228">
        <f>VLOOKUP($A15,[0]!Data,129,FALSE)</f>
        <v>137437</v>
      </c>
      <c r="G15" s="228">
        <f>VLOOKUP($A15,[0]!Data,130,FALSE)</f>
        <v>0</v>
      </c>
      <c r="H15" s="228">
        <f>VLOOKUP($A15,[0]!Data,131,FALSE)</f>
        <v>137437</v>
      </c>
      <c r="I15" s="228">
        <f>VLOOKUP($A15,[0]!Data,132,FALSE)</f>
        <v>1373</v>
      </c>
      <c r="J15" s="228">
        <f>VLOOKUP($A15,[0]!Data,133,FALSE)</f>
        <v>0</v>
      </c>
      <c r="K15" s="228">
        <f>VLOOKUP($A15,[0]!Data,134,FALSE)</f>
        <v>1373</v>
      </c>
      <c r="L15" s="228">
        <f>VLOOKUP($A15,[0]!Data,135,FALSE)</f>
        <v>32587</v>
      </c>
      <c r="M15" s="230">
        <f>VLOOKUP($A15,[0]!Data,136,FALSE)</f>
        <v>1148249</v>
      </c>
    </row>
    <row r="16" spans="1:13" x14ac:dyDescent="0.25">
      <c r="A16" s="40" t="s">
        <v>868</v>
      </c>
      <c r="B16" s="40" t="s">
        <v>1935</v>
      </c>
      <c r="C16" s="228">
        <f>VLOOKUP($A16,[0]!Data,126,FALSE)</f>
        <v>0</v>
      </c>
      <c r="D16" s="228">
        <f>VLOOKUP($A16,[0]!Data,127,FALSE)</f>
        <v>180679</v>
      </c>
      <c r="E16" s="228">
        <f>VLOOKUP($A16,[0]!Data,128,FALSE)</f>
        <v>180679</v>
      </c>
      <c r="F16" s="228">
        <f>VLOOKUP($A16,[0]!Data,129,FALSE)</f>
        <v>84941</v>
      </c>
      <c r="G16" s="228">
        <f>VLOOKUP($A16,[0]!Data,130,FALSE)</f>
        <v>0</v>
      </c>
      <c r="H16" s="228">
        <f>VLOOKUP($A16,[0]!Data,131,FALSE)</f>
        <v>84941</v>
      </c>
      <c r="I16" s="228">
        <f>VLOOKUP($A16,[0]!Data,132,FALSE)</f>
        <v>35186</v>
      </c>
      <c r="J16" s="228">
        <f>VLOOKUP($A16,[0]!Data,133,FALSE)</f>
        <v>0</v>
      </c>
      <c r="K16" s="228">
        <f>VLOOKUP($A16,[0]!Data,134,FALSE)</f>
        <v>35186</v>
      </c>
      <c r="L16" s="228">
        <f>VLOOKUP($A16,[0]!Data,135,FALSE)</f>
        <v>15263</v>
      </c>
      <c r="M16" s="230">
        <f>VLOOKUP($A16,[0]!Data,136,FALSE)</f>
        <v>316069</v>
      </c>
    </row>
    <row r="17" spans="1:13" x14ac:dyDescent="0.25">
      <c r="A17" s="40" t="s">
        <v>881</v>
      </c>
      <c r="B17" s="40" t="s">
        <v>1936</v>
      </c>
      <c r="C17" s="228">
        <f>VLOOKUP($A17,[0]!Data,126,FALSE)</f>
        <v>64302</v>
      </c>
      <c r="D17" s="228">
        <f>VLOOKUP($A17,[0]!Data,127,FALSE)</f>
        <v>2386552</v>
      </c>
      <c r="E17" s="228">
        <f>VLOOKUP($A17,[0]!Data,128,FALSE)</f>
        <v>2450854</v>
      </c>
      <c r="F17" s="228">
        <f>VLOOKUP($A17,[0]!Data,129,FALSE)</f>
        <v>149476</v>
      </c>
      <c r="G17" s="228">
        <f>VLOOKUP($A17,[0]!Data,130,FALSE)</f>
        <v>0</v>
      </c>
      <c r="H17" s="228">
        <f>VLOOKUP($A17,[0]!Data,131,FALSE)</f>
        <v>149476</v>
      </c>
      <c r="I17" s="228">
        <f>VLOOKUP($A17,[0]!Data,132,FALSE)</f>
        <v>46213</v>
      </c>
      <c r="J17" s="228">
        <f>VLOOKUP($A17,[0]!Data,133,FALSE)</f>
        <v>0</v>
      </c>
      <c r="K17" s="228">
        <f>VLOOKUP($A17,[0]!Data,134,FALSE)</f>
        <v>46213</v>
      </c>
      <c r="L17" s="228">
        <f>VLOOKUP($A17,[0]!Data,135,FALSE)</f>
        <v>66023</v>
      </c>
      <c r="M17" s="230">
        <f>VLOOKUP($A17,[0]!Data,136,FALSE)</f>
        <v>2712566</v>
      </c>
    </row>
    <row r="18" spans="1:13" x14ac:dyDescent="0.25">
      <c r="A18" s="40" t="s">
        <v>932</v>
      </c>
      <c r="B18" s="40" t="s">
        <v>1937</v>
      </c>
      <c r="C18" s="228">
        <f>VLOOKUP($A18,[0]!Data,126,FALSE)</f>
        <v>0</v>
      </c>
      <c r="D18" s="228">
        <f>VLOOKUP($A18,[0]!Data,127,FALSE)</f>
        <v>1905135</v>
      </c>
      <c r="E18" s="228">
        <f>VLOOKUP($A18,[0]!Data,128,FALSE)</f>
        <v>1905135</v>
      </c>
      <c r="F18" s="228">
        <f>VLOOKUP($A18,[0]!Data,129,FALSE)</f>
        <v>101990</v>
      </c>
      <c r="G18" s="228">
        <f>VLOOKUP($A18,[0]!Data,130,FALSE)</f>
        <v>0</v>
      </c>
      <c r="H18" s="228">
        <f>VLOOKUP($A18,[0]!Data,131,FALSE)</f>
        <v>101990</v>
      </c>
      <c r="I18" s="228">
        <f>VLOOKUP($A18,[0]!Data,132,FALSE)</f>
        <v>0</v>
      </c>
      <c r="J18" s="228">
        <f>VLOOKUP($A18,[0]!Data,133,FALSE)</f>
        <v>0</v>
      </c>
      <c r="K18" s="228">
        <f>VLOOKUP($A18,[0]!Data,134,FALSE)</f>
        <v>0</v>
      </c>
      <c r="L18" s="228">
        <f>VLOOKUP($A18,[0]!Data,135,FALSE)</f>
        <v>166703</v>
      </c>
      <c r="M18" s="230">
        <f>VLOOKUP($A18,[0]!Data,136,FALSE)</f>
        <v>2173828</v>
      </c>
    </row>
    <row r="19" spans="1:13" x14ac:dyDescent="0.25">
      <c r="A19" s="40" t="s">
        <v>947</v>
      </c>
      <c r="B19" s="40" t="s">
        <v>1938</v>
      </c>
      <c r="C19" s="228">
        <f>VLOOKUP($A19,[0]!Data,126,FALSE)</f>
        <v>0</v>
      </c>
      <c r="D19" s="228">
        <f>VLOOKUP($A19,[0]!Data,127,FALSE)</f>
        <v>837432</v>
      </c>
      <c r="E19" s="228">
        <f>VLOOKUP($A19,[0]!Data,128,FALSE)</f>
        <v>837432</v>
      </c>
      <c r="F19" s="228">
        <f>VLOOKUP($A19,[0]!Data,129,FALSE)</f>
        <v>138260</v>
      </c>
      <c r="G19" s="228">
        <f>VLOOKUP($A19,[0]!Data,130,FALSE)</f>
        <v>0</v>
      </c>
      <c r="H19" s="228">
        <f>VLOOKUP($A19,[0]!Data,131,FALSE)</f>
        <v>138260</v>
      </c>
      <c r="I19" s="228">
        <f>VLOOKUP($A19,[0]!Data,132,FALSE)</f>
        <v>5313</v>
      </c>
      <c r="J19" s="228">
        <f>VLOOKUP($A19,[0]!Data,133,FALSE)</f>
        <v>0</v>
      </c>
      <c r="K19" s="228">
        <f>VLOOKUP($A19,[0]!Data,134,FALSE)</f>
        <v>5313</v>
      </c>
      <c r="L19" s="228">
        <f>VLOOKUP($A19,[0]!Data,135,FALSE)</f>
        <v>80604</v>
      </c>
      <c r="M19" s="230">
        <f>VLOOKUP($A19,[0]!Data,136,FALSE)</f>
        <v>1061609</v>
      </c>
    </row>
    <row r="20" spans="1:13" x14ac:dyDescent="0.25">
      <c r="A20" s="40" t="s">
        <v>961</v>
      </c>
      <c r="B20" s="40" t="s">
        <v>1939</v>
      </c>
      <c r="C20" s="228">
        <f>VLOOKUP($A20,[0]!Data,126,FALSE)</f>
        <v>0</v>
      </c>
      <c r="D20" s="228">
        <f>VLOOKUP($A20,[0]!Data,127,FALSE)</f>
        <v>1249869</v>
      </c>
      <c r="E20" s="228">
        <f>VLOOKUP($A20,[0]!Data,128,FALSE)</f>
        <v>1249869</v>
      </c>
      <c r="F20" s="228">
        <f>VLOOKUP($A20,[0]!Data,129,FALSE)</f>
        <v>114987</v>
      </c>
      <c r="G20" s="228">
        <f>VLOOKUP($A20,[0]!Data,130,FALSE)</f>
        <v>100000</v>
      </c>
      <c r="H20" s="228">
        <f>VLOOKUP($A20,[0]!Data,131,FALSE)</f>
        <v>214987</v>
      </c>
      <c r="I20" s="228">
        <f>VLOOKUP($A20,[0]!Data,132,FALSE)</f>
        <v>0</v>
      </c>
      <c r="J20" s="228">
        <f>VLOOKUP($A20,[0]!Data,133,FALSE)</f>
        <v>0</v>
      </c>
      <c r="K20" s="228">
        <f>VLOOKUP($A20,[0]!Data,134,FALSE)</f>
        <v>0</v>
      </c>
      <c r="L20" s="228">
        <f>VLOOKUP($A20,[0]!Data,135,FALSE)</f>
        <v>0</v>
      </c>
      <c r="M20" s="230">
        <f>VLOOKUP($A20,[0]!Data,136,FALSE)</f>
        <v>1464856</v>
      </c>
    </row>
    <row r="21" spans="1:13" x14ac:dyDescent="0.25">
      <c r="A21" s="40" t="s">
        <v>991</v>
      </c>
      <c r="B21" s="40" t="s">
        <v>1940</v>
      </c>
      <c r="C21" s="228">
        <f>VLOOKUP($A21,[0]!Data,126,FALSE)</f>
        <v>0</v>
      </c>
      <c r="D21" s="228">
        <f>VLOOKUP($A21,[0]!Data,127,FALSE)</f>
        <v>10639547</v>
      </c>
      <c r="E21" s="228">
        <f>VLOOKUP($A21,[0]!Data,128,FALSE)</f>
        <v>10639547</v>
      </c>
      <c r="F21" s="228">
        <f>VLOOKUP($A21,[0]!Data,129,FALSE)</f>
        <v>309955</v>
      </c>
      <c r="G21" s="228">
        <f>VLOOKUP($A21,[0]!Data,130,FALSE)</f>
        <v>45292</v>
      </c>
      <c r="H21" s="228">
        <f>VLOOKUP($A21,[0]!Data,131,FALSE)</f>
        <v>355247</v>
      </c>
      <c r="I21" s="228">
        <f>VLOOKUP($A21,[0]!Data,132,FALSE)</f>
        <v>30111</v>
      </c>
      <c r="J21" s="228">
        <f>VLOOKUP($A21,[0]!Data,133,FALSE)</f>
        <v>0</v>
      </c>
      <c r="K21" s="228">
        <f>VLOOKUP($A21,[0]!Data,134,FALSE)</f>
        <v>30111</v>
      </c>
      <c r="L21" s="228">
        <f>VLOOKUP($A21,[0]!Data,135,FALSE)</f>
        <v>40559</v>
      </c>
      <c r="M21" s="230">
        <f>VLOOKUP($A21,[0]!Data,136,FALSE)</f>
        <v>11065464</v>
      </c>
    </row>
    <row r="22" spans="1:13" x14ac:dyDescent="0.25">
      <c r="A22" s="40" t="s">
        <v>1007</v>
      </c>
      <c r="B22" s="40" t="s">
        <v>1941</v>
      </c>
      <c r="C22" s="228">
        <f>VLOOKUP($A22,[0]!Data,126,FALSE)</f>
        <v>0</v>
      </c>
      <c r="D22" s="228">
        <f>VLOOKUP($A22,[0]!Data,127,FALSE)</f>
        <v>3453686</v>
      </c>
      <c r="E22" s="228">
        <f>VLOOKUP($A22,[0]!Data,128,FALSE)</f>
        <v>3453686</v>
      </c>
      <c r="F22" s="228">
        <f>VLOOKUP($A22,[0]!Data,129,FALSE)</f>
        <v>186786</v>
      </c>
      <c r="G22" s="228">
        <f>VLOOKUP($A22,[0]!Data,130,FALSE)</f>
        <v>0</v>
      </c>
      <c r="H22" s="228">
        <f>VLOOKUP($A22,[0]!Data,131,FALSE)</f>
        <v>186786</v>
      </c>
      <c r="I22" s="228">
        <f>VLOOKUP($A22,[0]!Data,132,FALSE)</f>
        <v>6203</v>
      </c>
      <c r="J22" s="228">
        <f>VLOOKUP($A22,[0]!Data,133,FALSE)</f>
        <v>0</v>
      </c>
      <c r="K22" s="228">
        <f>VLOOKUP($A22,[0]!Data,134,FALSE)</f>
        <v>6203</v>
      </c>
      <c r="L22" s="228">
        <f>VLOOKUP($A22,[0]!Data,135,FALSE)</f>
        <v>90464</v>
      </c>
      <c r="M22" s="230">
        <f>VLOOKUP($A22,[0]!Data,136,FALSE)</f>
        <v>3737139</v>
      </c>
    </row>
    <row r="23" spans="1:13" x14ac:dyDescent="0.25">
      <c r="A23" s="40" t="s">
        <v>1024</v>
      </c>
      <c r="B23" s="40" t="s">
        <v>1942</v>
      </c>
      <c r="C23" s="228">
        <f>VLOOKUP($A23,[0]!Data,126,FALSE)</f>
        <v>50021</v>
      </c>
      <c r="D23" s="228">
        <f>VLOOKUP($A23,[0]!Data,127,FALSE)</f>
        <v>428809</v>
      </c>
      <c r="E23" s="228">
        <f>VLOOKUP($A23,[0]!Data,128,FALSE)</f>
        <v>478830</v>
      </c>
      <c r="F23" s="228">
        <f>VLOOKUP($A23,[0]!Data,129,FALSE)</f>
        <v>90551</v>
      </c>
      <c r="G23" s="228">
        <f>VLOOKUP($A23,[0]!Data,130,FALSE)</f>
        <v>0</v>
      </c>
      <c r="H23" s="228">
        <f>VLOOKUP($A23,[0]!Data,131,FALSE)</f>
        <v>90551</v>
      </c>
      <c r="I23" s="228">
        <f>VLOOKUP($A23,[0]!Data,132,FALSE)</f>
        <v>24767</v>
      </c>
      <c r="J23" s="228">
        <f>VLOOKUP($A23,[0]!Data,133,FALSE)</f>
        <v>0</v>
      </c>
      <c r="K23" s="228">
        <f>VLOOKUP($A23,[0]!Data,134,FALSE)</f>
        <v>24767</v>
      </c>
      <c r="L23" s="228">
        <f>VLOOKUP($A23,[0]!Data,135,FALSE)</f>
        <v>63213</v>
      </c>
      <c r="M23" s="230">
        <f>VLOOKUP($A23,[0]!Data,136,FALSE)</f>
        <v>657361</v>
      </c>
    </row>
    <row r="24" spans="1:13" x14ac:dyDescent="0.25">
      <c r="A24" s="40" t="s">
        <v>1037</v>
      </c>
      <c r="B24" s="40" t="s">
        <v>1943</v>
      </c>
      <c r="C24" s="228">
        <f>VLOOKUP($A24,[0]!Data,126,FALSE)</f>
        <v>38060</v>
      </c>
      <c r="D24" s="228">
        <f>VLOOKUP($A24,[0]!Data,127,FALSE)</f>
        <v>483179</v>
      </c>
      <c r="E24" s="228">
        <f>VLOOKUP($A24,[0]!Data,128,FALSE)</f>
        <v>521239</v>
      </c>
      <c r="F24" s="228">
        <f>VLOOKUP($A24,[0]!Data,129,FALSE)</f>
        <v>122312</v>
      </c>
      <c r="G24" s="228">
        <f>VLOOKUP($A24,[0]!Data,130,FALSE)</f>
        <v>0</v>
      </c>
      <c r="H24" s="228">
        <f>VLOOKUP($A24,[0]!Data,131,FALSE)</f>
        <v>122312</v>
      </c>
      <c r="I24" s="228">
        <f>VLOOKUP($A24,[0]!Data,132,FALSE)</f>
        <v>1168</v>
      </c>
      <c r="J24" s="228">
        <f>VLOOKUP($A24,[0]!Data,133,FALSE)</f>
        <v>0</v>
      </c>
      <c r="K24" s="228">
        <f>VLOOKUP($A24,[0]!Data,134,FALSE)</f>
        <v>1168</v>
      </c>
      <c r="L24" s="228">
        <f>VLOOKUP($A24,[0]!Data,135,FALSE)</f>
        <v>0</v>
      </c>
      <c r="M24" s="230">
        <f>VLOOKUP($A24,[0]!Data,136,FALSE)</f>
        <v>644719</v>
      </c>
    </row>
    <row r="25" spans="1:13" x14ac:dyDescent="0.25">
      <c r="A25" s="40" t="s">
        <v>1053</v>
      </c>
      <c r="B25" s="40" t="s">
        <v>1944</v>
      </c>
      <c r="C25" s="228">
        <f>VLOOKUP($A25,[0]!Data,126,FALSE)</f>
        <v>0</v>
      </c>
      <c r="D25" s="228">
        <f>VLOOKUP($A25,[0]!Data,127,FALSE)</f>
        <v>11317640</v>
      </c>
      <c r="E25" s="228">
        <f>VLOOKUP($A25,[0]!Data,128,FALSE)</f>
        <v>11317640</v>
      </c>
      <c r="F25" s="228">
        <f>VLOOKUP($A25,[0]!Data,129,FALSE)</f>
        <v>235086</v>
      </c>
      <c r="G25" s="228">
        <f>VLOOKUP($A25,[0]!Data,130,FALSE)</f>
        <v>0</v>
      </c>
      <c r="H25" s="228">
        <f>VLOOKUP($A25,[0]!Data,131,FALSE)</f>
        <v>235086</v>
      </c>
      <c r="I25" s="228">
        <f>VLOOKUP($A25,[0]!Data,132,FALSE)</f>
        <v>53800</v>
      </c>
      <c r="J25" s="228">
        <f>VLOOKUP($A25,[0]!Data,133,FALSE)</f>
        <v>0</v>
      </c>
      <c r="K25" s="228">
        <f>VLOOKUP($A25,[0]!Data,134,FALSE)</f>
        <v>53800</v>
      </c>
      <c r="L25" s="228">
        <f>VLOOKUP($A25,[0]!Data,135,FALSE)</f>
        <v>0</v>
      </c>
      <c r="M25" s="230">
        <f>VLOOKUP($A25,[0]!Data,136,FALSE)</f>
        <v>11606526</v>
      </c>
    </row>
    <row r="26" spans="1:13" x14ac:dyDescent="0.25">
      <c r="A26" s="40" t="s">
        <v>1086</v>
      </c>
      <c r="B26" s="40" t="s">
        <v>1945</v>
      </c>
      <c r="C26" s="228">
        <f>VLOOKUP($A26,[0]!Data,126,FALSE)</f>
        <v>153528</v>
      </c>
      <c r="D26" s="228">
        <f>VLOOKUP($A26,[0]!Data,127,FALSE)</f>
        <v>373850</v>
      </c>
      <c r="E26" s="228">
        <f>VLOOKUP($A26,[0]!Data,128,FALSE)</f>
        <v>527378</v>
      </c>
      <c r="F26" s="228">
        <f>VLOOKUP($A26,[0]!Data,129,FALSE)</f>
        <v>116974</v>
      </c>
      <c r="G26" s="228">
        <f>VLOOKUP($A26,[0]!Data,130,FALSE)</f>
        <v>210</v>
      </c>
      <c r="H26" s="228">
        <f>VLOOKUP($A26,[0]!Data,131,FALSE)</f>
        <v>117184</v>
      </c>
      <c r="I26" s="228">
        <f>VLOOKUP($A26,[0]!Data,132,FALSE)</f>
        <v>4796</v>
      </c>
      <c r="J26" s="228">
        <f>VLOOKUP($A26,[0]!Data,133,FALSE)</f>
        <v>0</v>
      </c>
      <c r="K26" s="228">
        <f>VLOOKUP($A26,[0]!Data,134,FALSE)</f>
        <v>4796</v>
      </c>
      <c r="L26" s="228">
        <f>VLOOKUP($A26,[0]!Data,135,FALSE)</f>
        <v>63641</v>
      </c>
      <c r="M26" s="230">
        <f>VLOOKUP($A26,[0]!Data,136,FALSE)</f>
        <v>712999</v>
      </c>
    </row>
    <row r="27" spans="1:13" x14ac:dyDescent="0.25">
      <c r="A27" s="40" t="s">
        <v>1132</v>
      </c>
      <c r="B27" s="40" t="s">
        <v>1946</v>
      </c>
      <c r="C27" s="228">
        <f>VLOOKUP($A27,[0]!Data,126,FALSE)</f>
        <v>0</v>
      </c>
      <c r="D27" s="228">
        <f>VLOOKUP($A27,[0]!Data,127,FALSE)</f>
        <v>7060367</v>
      </c>
      <c r="E27" s="228">
        <f>VLOOKUP($A27,[0]!Data,128,FALSE)</f>
        <v>7060367</v>
      </c>
      <c r="F27" s="228">
        <f>VLOOKUP($A27,[0]!Data,129,FALSE)</f>
        <v>292277</v>
      </c>
      <c r="G27" s="228">
        <f>VLOOKUP($A27,[0]!Data,130,FALSE)</f>
        <v>0</v>
      </c>
      <c r="H27" s="228">
        <f>VLOOKUP($A27,[0]!Data,131,FALSE)</f>
        <v>292277</v>
      </c>
      <c r="I27" s="228">
        <f>VLOOKUP($A27,[0]!Data,132,FALSE)</f>
        <v>100984</v>
      </c>
      <c r="J27" s="228">
        <f>VLOOKUP($A27,[0]!Data,133,FALSE)</f>
        <v>0</v>
      </c>
      <c r="K27" s="228">
        <f>VLOOKUP($A27,[0]!Data,134,FALSE)</f>
        <v>100984</v>
      </c>
      <c r="L27" s="228">
        <f>VLOOKUP($A27,[0]!Data,135,FALSE)</f>
        <v>195225</v>
      </c>
      <c r="M27" s="230">
        <f>VLOOKUP($A27,[0]!Data,136,FALSE)</f>
        <v>7648853</v>
      </c>
    </row>
    <row r="28" spans="1:13" x14ac:dyDescent="0.25">
      <c r="A28" s="40" t="s">
        <v>1146</v>
      </c>
      <c r="B28" s="40" t="s">
        <v>1947</v>
      </c>
      <c r="C28" s="228">
        <f>VLOOKUP($A28,[0]!Data,126,FALSE)</f>
        <v>3000</v>
      </c>
      <c r="D28" s="228">
        <f>VLOOKUP($A28,[0]!Data,127,FALSE)</f>
        <v>787230</v>
      </c>
      <c r="E28" s="228">
        <f>VLOOKUP($A28,[0]!Data,128,FALSE)</f>
        <v>790230</v>
      </c>
      <c r="F28" s="228">
        <f>VLOOKUP($A28,[0]!Data,129,FALSE)</f>
        <v>114546</v>
      </c>
      <c r="G28" s="228">
        <f>VLOOKUP($A28,[0]!Data,130,FALSE)</f>
        <v>0</v>
      </c>
      <c r="H28" s="228">
        <f>VLOOKUP($A28,[0]!Data,131,FALSE)</f>
        <v>114546</v>
      </c>
      <c r="I28" s="228">
        <f>VLOOKUP($A28,[0]!Data,132,FALSE)</f>
        <v>1205</v>
      </c>
      <c r="J28" s="228">
        <f>VLOOKUP($A28,[0]!Data,133,FALSE)</f>
        <v>0</v>
      </c>
      <c r="K28" s="228">
        <f>VLOOKUP($A28,[0]!Data,134,FALSE)</f>
        <v>1205</v>
      </c>
      <c r="L28" s="228">
        <f>VLOOKUP($A28,[0]!Data,135,FALSE)</f>
        <v>1600</v>
      </c>
      <c r="M28" s="230">
        <f>VLOOKUP($A28,[0]!Data,136,FALSE)</f>
        <v>907581</v>
      </c>
    </row>
    <row r="29" spans="1:13" x14ac:dyDescent="0.25">
      <c r="A29" s="40" t="s">
        <v>1161</v>
      </c>
      <c r="B29" s="40" t="s">
        <v>1176</v>
      </c>
      <c r="C29" s="228">
        <f>VLOOKUP($A29,[0]!Data,126,FALSE)</f>
        <v>0</v>
      </c>
      <c r="D29" s="228">
        <f>VLOOKUP($A29,[0]!Data,127,FALSE)</f>
        <v>3834335</v>
      </c>
      <c r="E29" s="228">
        <f>VLOOKUP($A29,[0]!Data,128,FALSE)</f>
        <v>3834335</v>
      </c>
      <c r="F29" s="228">
        <f>VLOOKUP($A29,[0]!Data,129,FALSE)</f>
        <v>225865</v>
      </c>
      <c r="G29" s="228">
        <f>VLOOKUP($A29,[0]!Data,130,FALSE)</f>
        <v>0</v>
      </c>
      <c r="H29" s="228">
        <f>VLOOKUP($A29,[0]!Data,131,FALSE)</f>
        <v>225865</v>
      </c>
      <c r="I29" s="228">
        <f>VLOOKUP($A29,[0]!Data,132,FALSE)</f>
        <v>4414</v>
      </c>
      <c r="J29" s="228">
        <f>VLOOKUP($A29,[0]!Data,133,FALSE)</f>
        <v>0</v>
      </c>
      <c r="K29" s="228">
        <f>VLOOKUP($A29,[0]!Data,134,FALSE)</f>
        <v>4414</v>
      </c>
      <c r="L29" s="228">
        <f>VLOOKUP($A29,[0]!Data,135,FALSE)</f>
        <v>0</v>
      </c>
      <c r="M29" s="230">
        <f>VLOOKUP($A29,[0]!Data,136,FALSE)</f>
        <v>4064614</v>
      </c>
    </row>
    <row r="30" spans="1:13" x14ac:dyDescent="0.25">
      <c r="A30" s="40" t="s">
        <v>1187</v>
      </c>
      <c r="B30" s="40" t="s">
        <v>1948</v>
      </c>
      <c r="C30" s="228">
        <f>VLOOKUP($A30,[0]!Data,126,FALSE)</f>
        <v>0</v>
      </c>
      <c r="D30" s="228">
        <f>VLOOKUP($A30,[0]!Data,127,FALSE)</f>
        <v>1697908</v>
      </c>
      <c r="E30" s="228">
        <f>VLOOKUP($A30,[0]!Data,128,FALSE)</f>
        <v>1697908</v>
      </c>
      <c r="F30" s="228">
        <f>VLOOKUP($A30,[0]!Data,129,FALSE)</f>
        <v>108151</v>
      </c>
      <c r="G30" s="228">
        <f>VLOOKUP($A30,[0]!Data,130,FALSE)</f>
        <v>0</v>
      </c>
      <c r="H30" s="228">
        <f>VLOOKUP($A30,[0]!Data,131,FALSE)</f>
        <v>108151</v>
      </c>
      <c r="I30" s="228">
        <f>VLOOKUP($A30,[0]!Data,132,FALSE)</f>
        <v>18475</v>
      </c>
      <c r="J30" s="228">
        <f>VLOOKUP($A30,[0]!Data,133,FALSE)</f>
        <v>0</v>
      </c>
      <c r="K30" s="228">
        <f>VLOOKUP($A30,[0]!Data,134,FALSE)</f>
        <v>18475</v>
      </c>
      <c r="L30" s="228">
        <f>VLOOKUP($A30,[0]!Data,135,FALSE)</f>
        <v>5471</v>
      </c>
      <c r="M30" s="230">
        <f>VLOOKUP($A30,[0]!Data,136,FALSE)</f>
        <v>1830005</v>
      </c>
    </row>
    <row r="31" spans="1:13" x14ac:dyDescent="0.25">
      <c r="A31" s="40" t="s">
        <v>1201</v>
      </c>
      <c r="B31" s="40" t="s">
        <v>1949</v>
      </c>
      <c r="C31" s="228">
        <f>VLOOKUP($A31,[0]!Data,126,FALSE)</f>
        <v>7147636</v>
      </c>
      <c r="D31" s="228">
        <f>VLOOKUP($A31,[0]!Data,127,FALSE)</f>
        <v>1356847</v>
      </c>
      <c r="E31" s="228">
        <f>VLOOKUP($A31,[0]!Data,128,FALSE)</f>
        <v>8504483</v>
      </c>
      <c r="F31" s="228">
        <f>VLOOKUP($A31,[0]!Data,129,FALSE)</f>
        <v>379326</v>
      </c>
      <c r="G31" s="228">
        <f>VLOOKUP($A31,[0]!Data,130,FALSE)</f>
        <v>0</v>
      </c>
      <c r="H31" s="228">
        <f>VLOOKUP($A31,[0]!Data,131,FALSE)</f>
        <v>379326</v>
      </c>
      <c r="I31" s="228">
        <f>VLOOKUP($A31,[0]!Data,132,FALSE)</f>
        <v>0</v>
      </c>
      <c r="J31" s="228">
        <f>VLOOKUP($A31,[0]!Data,133,FALSE)</f>
        <v>0</v>
      </c>
      <c r="K31" s="228">
        <f>VLOOKUP($A31,[0]!Data,134,FALSE)</f>
        <v>0</v>
      </c>
      <c r="L31" s="228">
        <f>VLOOKUP($A31,[0]!Data,135,FALSE)</f>
        <v>198100</v>
      </c>
      <c r="M31" s="230">
        <f>VLOOKUP($A31,[0]!Data,136,FALSE)</f>
        <v>9081909</v>
      </c>
    </row>
    <row r="32" spans="1:13" x14ac:dyDescent="0.25">
      <c r="A32" s="40" t="s">
        <v>1218</v>
      </c>
      <c r="B32" s="40" t="s">
        <v>1950</v>
      </c>
      <c r="C32" s="228">
        <f>VLOOKUP($A32,[0]!Data,126,FALSE)</f>
        <v>0</v>
      </c>
      <c r="D32" s="228">
        <f>VLOOKUP($A32,[0]!Data,127,FALSE)</f>
        <v>503169</v>
      </c>
      <c r="E32" s="228">
        <f>VLOOKUP($A32,[0]!Data,128,FALSE)</f>
        <v>503169</v>
      </c>
      <c r="F32" s="228">
        <f>VLOOKUP($A32,[0]!Data,129,FALSE)</f>
        <v>97983</v>
      </c>
      <c r="G32" s="228">
        <f>VLOOKUP($A32,[0]!Data,130,FALSE)</f>
        <v>0</v>
      </c>
      <c r="H32" s="228">
        <f>VLOOKUP($A32,[0]!Data,131,FALSE)</f>
        <v>97983</v>
      </c>
      <c r="I32" s="228">
        <f>VLOOKUP($A32,[0]!Data,132,FALSE)</f>
        <v>3515</v>
      </c>
      <c r="J32" s="228">
        <f>VLOOKUP($A32,[0]!Data,133,FALSE)</f>
        <v>0</v>
      </c>
      <c r="K32" s="228">
        <f>VLOOKUP($A32,[0]!Data,134,FALSE)</f>
        <v>3515</v>
      </c>
      <c r="L32" s="228">
        <f>VLOOKUP($A32,[0]!Data,135,FALSE)</f>
        <v>14978</v>
      </c>
      <c r="M32" s="230">
        <f>VLOOKUP($A32,[0]!Data,136,FALSE)</f>
        <v>619645</v>
      </c>
    </row>
    <row r="33" spans="1:13" x14ac:dyDescent="0.25">
      <c r="A33" s="40" t="s">
        <v>1232</v>
      </c>
      <c r="B33" s="40" t="s">
        <v>1951</v>
      </c>
      <c r="C33" s="228">
        <f>VLOOKUP($A33,[0]!Data,126,FALSE)</f>
        <v>477552</v>
      </c>
      <c r="D33" s="228">
        <f>VLOOKUP($A33,[0]!Data,127,FALSE)</f>
        <v>971654</v>
      </c>
      <c r="E33" s="228">
        <f>VLOOKUP($A33,[0]!Data,128,FALSE)</f>
        <v>1449206</v>
      </c>
      <c r="F33" s="228">
        <f>VLOOKUP($A33,[0]!Data,129,FALSE)</f>
        <v>166317</v>
      </c>
      <c r="G33" s="228">
        <f>VLOOKUP($A33,[0]!Data,130,FALSE)</f>
        <v>0</v>
      </c>
      <c r="H33" s="228">
        <f>VLOOKUP($A33,[0]!Data,131,FALSE)</f>
        <v>166317</v>
      </c>
      <c r="I33" s="228">
        <f>VLOOKUP($A33,[0]!Data,132,FALSE)</f>
        <v>0</v>
      </c>
      <c r="J33" s="228">
        <f>VLOOKUP($A33,[0]!Data,133,FALSE)</f>
        <v>0</v>
      </c>
      <c r="K33" s="228">
        <f>VLOOKUP($A33,[0]!Data,134,FALSE)</f>
        <v>0</v>
      </c>
      <c r="L33" s="228">
        <f>VLOOKUP($A33,[0]!Data,135,FALSE)</f>
        <v>26464</v>
      </c>
      <c r="M33" s="230">
        <f>VLOOKUP($A33,[0]!Data,136,FALSE)</f>
        <v>1641987</v>
      </c>
    </row>
    <row r="34" spans="1:13" x14ac:dyDescent="0.25">
      <c r="A34" s="40" t="s">
        <v>1256</v>
      </c>
      <c r="B34" s="40" t="s">
        <v>1952</v>
      </c>
      <c r="C34" s="228">
        <f>VLOOKUP($A34,[0]!Data,126,FALSE)</f>
        <v>1819</v>
      </c>
      <c r="D34" s="228">
        <f>VLOOKUP($A34,[0]!Data,127,FALSE)</f>
        <v>1217343</v>
      </c>
      <c r="E34" s="228">
        <f>VLOOKUP($A34,[0]!Data,128,FALSE)</f>
        <v>1219162</v>
      </c>
      <c r="F34" s="228">
        <f>VLOOKUP($A34,[0]!Data,129,FALSE)</f>
        <v>105804</v>
      </c>
      <c r="G34" s="228">
        <f>VLOOKUP($A34,[0]!Data,130,FALSE)</f>
        <v>0</v>
      </c>
      <c r="H34" s="228">
        <f>VLOOKUP($A34,[0]!Data,131,FALSE)</f>
        <v>105804</v>
      </c>
      <c r="I34" s="228">
        <f>VLOOKUP($A34,[0]!Data,132,FALSE)</f>
        <v>0</v>
      </c>
      <c r="J34" s="228">
        <f>VLOOKUP($A34,[0]!Data,133,FALSE)</f>
        <v>48091</v>
      </c>
      <c r="K34" s="228">
        <f>VLOOKUP($A34,[0]!Data,134,FALSE)</f>
        <v>48091</v>
      </c>
      <c r="L34" s="228">
        <f>VLOOKUP($A34,[0]!Data,135,FALSE)</f>
        <v>0</v>
      </c>
      <c r="M34" s="230">
        <f>VLOOKUP($A34,[0]!Data,136,FALSE)</f>
        <v>1373057</v>
      </c>
    </row>
    <row r="35" spans="1:13" x14ac:dyDescent="0.25">
      <c r="A35" s="40" t="s">
        <v>1268</v>
      </c>
      <c r="B35" s="40" t="s">
        <v>1953</v>
      </c>
      <c r="C35" s="228">
        <f>VLOOKUP($A35,[0]!Data,126,FALSE)</f>
        <v>0</v>
      </c>
      <c r="D35" s="228">
        <f>VLOOKUP($A35,[0]!Data,127,FALSE)</f>
        <v>2796071</v>
      </c>
      <c r="E35" s="228">
        <f>VLOOKUP($A35,[0]!Data,128,FALSE)</f>
        <v>2796071</v>
      </c>
      <c r="F35" s="228">
        <f>VLOOKUP($A35,[0]!Data,129,FALSE)</f>
        <v>139801</v>
      </c>
      <c r="G35" s="228">
        <f>VLOOKUP($A35,[0]!Data,130,FALSE)</f>
        <v>0</v>
      </c>
      <c r="H35" s="228">
        <f>VLOOKUP($A35,[0]!Data,131,FALSE)</f>
        <v>139801</v>
      </c>
      <c r="I35" s="228">
        <f>VLOOKUP($A35,[0]!Data,132,FALSE)</f>
        <v>1156</v>
      </c>
      <c r="J35" s="228">
        <f>VLOOKUP($A35,[0]!Data,133,FALSE)</f>
        <v>0</v>
      </c>
      <c r="K35" s="228">
        <f>VLOOKUP($A35,[0]!Data,134,FALSE)</f>
        <v>1156</v>
      </c>
      <c r="L35" s="228">
        <f>VLOOKUP($A35,[0]!Data,135,FALSE)</f>
        <v>139759</v>
      </c>
      <c r="M35" s="230">
        <f>VLOOKUP($A35,[0]!Data,136,FALSE)</f>
        <v>3076787</v>
      </c>
    </row>
    <row r="36" spans="1:13" x14ac:dyDescent="0.25">
      <c r="A36" s="40" t="s">
        <v>1328</v>
      </c>
      <c r="B36" s="40" t="s">
        <v>1954</v>
      </c>
      <c r="C36" s="228">
        <f>VLOOKUP($A36,[0]!Data,126,FALSE)</f>
        <v>0</v>
      </c>
      <c r="D36" s="228">
        <f>VLOOKUP($A36,[0]!Data,127,FALSE)</f>
        <v>2123900</v>
      </c>
      <c r="E36" s="228">
        <f>VLOOKUP($A36,[0]!Data,128,FALSE)</f>
        <v>2123900</v>
      </c>
      <c r="F36" s="228">
        <f>VLOOKUP($A36,[0]!Data,129,FALSE)</f>
        <v>148360</v>
      </c>
      <c r="G36" s="228">
        <f>VLOOKUP($A36,[0]!Data,130,FALSE)</f>
        <v>0</v>
      </c>
      <c r="H36" s="228">
        <f>VLOOKUP($A36,[0]!Data,131,FALSE)</f>
        <v>148360</v>
      </c>
      <c r="I36" s="228">
        <f>VLOOKUP($A36,[0]!Data,132,FALSE)</f>
        <v>0</v>
      </c>
      <c r="J36" s="228">
        <f>VLOOKUP($A36,[0]!Data,133,FALSE)</f>
        <v>0</v>
      </c>
      <c r="K36" s="228">
        <f>VLOOKUP($A36,[0]!Data,134,FALSE)</f>
        <v>0</v>
      </c>
      <c r="L36" s="228">
        <f>VLOOKUP($A36,[0]!Data,135,FALSE)</f>
        <v>0</v>
      </c>
      <c r="M36" s="230">
        <f>VLOOKUP($A36,[0]!Data,136,FALSE)</f>
        <v>2272260</v>
      </c>
    </row>
    <row r="37" spans="1:13" x14ac:dyDescent="0.25">
      <c r="A37" s="40" t="s">
        <v>1585</v>
      </c>
      <c r="B37" s="40" t="s">
        <v>1316</v>
      </c>
      <c r="C37" s="228">
        <f>VLOOKUP($A37,[0]!Data,126,FALSE)</f>
        <v>690866</v>
      </c>
      <c r="D37" s="228">
        <f>VLOOKUP($A37,[0]!Data,127,FALSE)</f>
        <v>451000</v>
      </c>
      <c r="E37" s="228">
        <f>VLOOKUP($A37,[0]!Data,128,FALSE)</f>
        <v>1141866</v>
      </c>
      <c r="F37" s="228">
        <f>VLOOKUP($A37,[0]!Data,129,FALSE)</f>
        <v>191073</v>
      </c>
      <c r="G37" s="228">
        <f>VLOOKUP($A37,[0]!Data,130,FALSE)</f>
        <v>0</v>
      </c>
      <c r="H37" s="228">
        <f>VLOOKUP($A37,[0]!Data,131,FALSE)</f>
        <v>191073</v>
      </c>
      <c r="I37" s="228">
        <f>VLOOKUP($A37,[0]!Data,132,FALSE)</f>
        <v>0</v>
      </c>
      <c r="J37" s="228">
        <f>VLOOKUP($A37,[0]!Data,133,FALSE)</f>
        <v>0</v>
      </c>
      <c r="K37" s="228">
        <f>VLOOKUP($A37,[0]!Data,134,FALSE)</f>
        <v>0</v>
      </c>
      <c r="L37" s="228">
        <f>VLOOKUP($A37,[0]!Data,135,FALSE)</f>
        <v>128735</v>
      </c>
      <c r="M37" s="230">
        <f>VLOOKUP($A37,[0]!Data,136,FALSE)</f>
        <v>1461674</v>
      </c>
    </row>
    <row r="38" spans="1:13" x14ac:dyDescent="0.25">
      <c r="A38" s="40" t="s">
        <v>1352</v>
      </c>
      <c r="B38" s="40" t="s">
        <v>1955</v>
      </c>
      <c r="C38" s="228">
        <f>VLOOKUP($A38,[0]!Data,126,FALSE)</f>
        <v>0</v>
      </c>
      <c r="D38" s="228">
        <f>VLOOKUP($A38,[0]!Data,127,FALSE)</f>
        <v>472808</v>
      </c>
      <c r="E38" s="228">
        <f>VLOOKUP($A38,[0]!Data,128,FALSE)</f>
        <v>472808</v>
      </c>
      <c r="F38" s="228">
        <f>VLOOKUP($A38,[0]!Data,129,FALSE)</f>
        <v>110935</v>
      </c>
      <c r="G38" s="228">
        <f>VLOOKUP($A38,[0]!Data,130,FALSE)</f>
        <v>0</v>
      </c>
      <c r="H38" s="228">
        <f>VLOOKUP($A38,[0]!Data,131,FALSE)</f>
        <v>110935</v>
      </c>
      <c r="I38" s="228">
        <f>VLOOKUP($A38,[0]!Data,132,FALSE)</f>
        <v>0</v>
      </c>
      <c r="J38" s="228">
        <f>VLOOKUP($A38,[0]!Data,133,FALSE)</f>
        <v>0</v>
      </c>
      <c r="K38" s="228">
        <f>VLOOKUP($A38,[0]!Data,134,FALSE)</f>
        <v>0</v>
      </c>
      <c r="L38" s="228">
        <f>VLOOKUP($A38,[0]!Data,135,FALSE)</f>
        <v>21106</v>
      </c>
      <c r="M38" s="230">
        <f>VLOOKUP($A38,[0]!Data,136,FALSE)</f>
        <v>604849</v>
      </c>
    </row>
    <row r="39" spans="1:13" x14ac:dyDescent="0.25">
      <c r="A39" s="40" t="s">
        <v>1365</v>
      </c>
      <c r="B39" s="40" t="s">
        <v>1956</v>
      </c>
      <c r="C39" s="228">
        <f>VLOOKUP($A39,[0]!Data,126,FALSE)</f>
        <v>0</v>
      </c>
      <c r="D39" s="228">
        <f>VLOOKUP($A39,[0]!Data,127,FALSE)</f>
        <v>1209484</v>
      </c>
      <c r="E39" s="228">
        <f>VLOOKUP($A39,[0]!Data,128,FALSE)</f>
        <v>1209484</v>
      </c>
      <c r="F39" s="228">
        <f>VLOOKUP($A39,[0]!Data,129,FALSE)</f>
        <v>118507</v>
      </c>
      <c r="G39" s="228">
        <f>VLOOKUP($A39,[0]!Data,130,FALSE)</f>
        <v>0</v>
      </c>
      <c r="H39" s="228">
        <f>VLOOKUP($A39,[0]!Data,131,FALSE)</f>
        <v>118507</v>
      </c>
      <c r="I39" s="228">
        <f>VLOOKUP($A39,[0]!Data,132,FALSE)</f>
        <v>59486</v>
      </c>
      <c r="J39" s="228">
        <f>VLOOKUP($A39,[0]!Data,133,FALSE)</f>
        <v>0</v>
      </c>
      <c r="K39" s="228">
        <f>VLOOKUP($A39,[0]!Data,134,FALSE)</f>
        <v>59486</v>
      </c>
      <c r="L39" s="228">
        <f>VLOOKUP($A39,[0]!Data,135,FALSE)</f>
        <v>5151</v>
      </c>
      <c r="M39" s="230">
        <f>VLOOKUP($A39,[0]!Data,136,FALSE)</f>
        <v>1392628</v>
      </c>
    </row>
    <row r="40" spans="1:13" x14ac:dyDescent="0.25">
      <c r="A40" s="40" t="s">
        <v>1383</v>
      </c>
      <c r="B40" s="40" t="s">
        <v>1957</v>
      </c>
      <c r="C40" s="228">
        <f>VLOOKUP($A40,[0]!Data,126,FALSE)</f>
        <v>6000</v>
      </c>
      <c r="D40" s="228">
        <f>VLOOKUP($A40,[0]!Data,127,FALSE)</f>
        <v>380854</v>
      </c>
      <c r="E40" s="228">
        <f>VLOOKUP($A40,[0]!Data,128,FALSE)</f>
        <v>386854</v>
      </c>
      <c r="F40" s="228">
        <f>VLOOKUP($A40,[0]!Data,129,FALSE)</f>
        <v>81518</v>
      </c>
      <c r="G40" s="228">
        <f>VLOOKUP($A40,[0]!Data,130,FALSE)</f>
        <v>0</v>
      </c>
      <c r="H40" s="228">
        <f>VLOOKUP($A40,[0]!Data,131,FALSE)</f>
        <v>81518</v>
      </c>
      <c r="I40" s="228">
        <f>VLOOKUP($A40,[0]!Data,132,FALSE)</f>
        <v>27012</v>
      </c>
      <c r="J40" s="228">
        <f>VLOOKUP($A40,[0]!Data,133,FALSE)</f>
        <v>2679</v>
      </c>
      <c r="K40" s="228">
        <f>VLOOKUP($A40,[0]!Data,134,FALSE)</f>
        <v>29691</v>
      </c>
      <c r="L40" s="228">
        <f>VLOOKUP($A40,[0]!Data,135,FALSE)</f>
        <v>13414</v>
      </c>
      <c r="M40" s="230">
        <f>VLOOKUP($A40,[0]!Data,136,FALSE)</f>
        <v>511477</v>
      </c>
    </row>
    <row r="41" spans="1:13" x14ac:dyDescent="0.25">
      <c r="A41" s="40" t="s">
        <v>1397</v>
      </c>
      <c r="B41" s="40" t="s">
        <v>1958</v>
      </c>
      <c r="C41" s="228">
        <f>VLOOKUP($A41,[0]!Data,126,FALSE)</f>
        <v>0</v>
      </c>
      <c r="D41" s="228">
        <f>VLOOKUP($A41,[0]!Data,127,FALSE)</f>
        <v>727094</v>
      </c>
      <c r="E41" s="228">
        <f>VLOOKUP($A41,[0]!Data,128,FALSE)</f>
        <v>727094</v>
      </c>
      <c r="F41" s="228">
        <f>VLOOKUP($A41,[0]!Data,129,FALSE)</f>
        <v>105533</v>
      </c>
      <c r="G41" s="228">
        <f>VLOOKUP($A41,[0]!Data,130,FALSE)</f>
        <v>0</v>
      </c>
      <c r="H41" s="228">
        <f>VLOOKUP($A41,[0]!Data,131,FALSE)</f>
        <v>105533</v>
      </c>
      <c r="I41" s="228">
        <f>VLOOKUP($A41,[0]!Data,132,FALSE)</f>
        <v>0</v>
      </c>
      <c r="J41" s="228">
        <f>VLOOKUP($A41,[0]!Data,133,FALSE)</f>
        <v>0</v>
      </c>
      <c r="K41" s="228">
        <f>VLOOKUP($A41,[0]!Data,134,FALSE)</f>
        <v>0</v>
      </c>
      <c r="L41" s="228">
        <f>VLOOKUP($A41,[0]!Data,135,FALSE)</f>
        <v>1628</v>
      </c>
      <c r="M41" s="230">
        <f>VLOOKUP($A41,[0]!Data,136,FALSE)</f>
        <v>834255</v>
      </c>
    </row>
    <row r="42" spans="1:13" x14ac:dyDescent="0.25">
      <c r="A42" s="40" t="s">
        <v>915</v>
      </c>
      <c r="B42" s="40" t="s">
        <v>1959</v>
      </c>
      <c r="C42" s="228">
        <f>VLOOKUP($A42,[0]!Data,126,FALSE)</f>
        <v>2500</v>
      </c>
      <c r="D42" s="228">
        <f>VLOOKUP($A42,[0]!Data,127,FALSE)</f>
        <v>36440898</v>
      </c>
      <c r="E42" s="228">
        <f>VLOOKUP($A42,[0]!Data,128,FALSE)</f>
        <v>36443398</v>
      </c>
      <c r="F42" s="228">
        <f>VLOOKUP($A42,[0]!Data,129,FALSE)</f>
        <v>612394</v>
      </c>
      <c r="G42" s="228">
        <f>VLOOKUP($A42,[0]!Data,130,FALSE)</f>
        <v>0</v>
      </c>
      <c r="H42" s="228">
        <f>VLOOKUP($A42,[0]!Data,131,FALSE)</f>
        <v>612394</v>
      </c>
      <c r="I42" s="228">
        <f>VLOOKUP($A42,[0]!Data,132,FALSE)</f>
        <v>81682</v>
      </c>
      <c r="J42" s="228">
        <f>VLOOKUP($A42,[0]!Data,133,FALSE)</f>
        <v>0</v>
      </c>
      <c r="K42" s="228">
        <f>VLOOKUP($A42,[0]!Data,134,FALSE)</f>
        <v>81682</v>
      </c>
      <c r="L42" s="228">
        <f>VLOOKUP($A42,[0]!Data,135,FALSE)</f>
        <v>2647782</v>
      </c>
      <c r="M42" s="230">
        <f>VLOOKUP($A42,[0]!Data,136,FALSE)</f>
        <v>39785256</v>
      </c>
    </row>
    <row r="43" spans="1:13" x14ac:dyDescent="0.25">
      <c r="A43" s="40" t="s">
        <v>789</v>
      </c>
      <c r="B43" s="40" t="s">
        <v>1960</v>
      </c>
      <c r="C43" s="228">
        <f>VLOOKUP($A43,[0]!Data,126,FALSE)</f>
        <v>613260</v>
      </c>
      <c r="D43" s="228">
        <f>VLOOKUP($A43,[0]!Data,127,FALSE)</f>
        <v>1059684</v>
      </c>
      <c r="E43" s="228">
        <f>VLOOKUP($A43,[0]!Data,128,FALSE)</f>
        <v>1672944</v>
      </c>
      <c r="F43" s="228">
        <f>VLOOKUP($A43,[0]!Data,129,FALSE)</f>
        <v>130598</v>
      </c>
      <c r="G43" s="228">
        <f>VLOOKUP($A43,[0]!Data,130,FALSE)</f>
        <v>0</v>
      </c>
      <c r="H43" s="228">
        <f>VLOOKUP($A43,[0]!Data,131,FALSE)</f>
        <v>130598</v>
      </c>
      <c r="I43" s="228">
        <f>VLOOKUP($A43,[0]!Data,132,FALSE)</f>
        <v>1807</v>
      </c>
      <c r="J43" s="228">
        <f>VLOOKUP($A43,[0]!Data,133,FALSE)</f>
        <v>0</v>
      </c>
      <c r="K43" s="228">
        <f>VLOOKUP($A43,[0]!Data,134,FALSE)</f>
        <v>1807</v>
      </c>
      <c r="L43" s="228">
        <f>VLOOKUP($A43,[0]!Data,135,FALSE)</f>
        <v>329501</v>
      </c>
      <c r="M43" s="230">
        <f>VLOOKUP($A43,[0]!Data,136,FALSE)</f>
        <v>2134850</v>
      </c>
    </row>
    <row r="44" spans="1:13" x14ac:dyDescent="0.25">
      <c r="A44" s="40" t="s">
        <v>1456</v>
      </c>
      <c r="B44" s="40" t="s">
        <v>1961</v>
      </c>
      <c r="C44" s="228">
        <f>VLOOKUP($A44,[0]!Data,126,FALSE)</f>
        <v>0</v>
      </c>
      <c r="D44" s="228">
        <f>VLOOKUP($A44,[0]!Data,127,FALSE)</f>
        <v>3621556</v>
      </c>
      <c r="E44" s="228">
        <f>VLOOKUP($A44,[0]!Data,128,FALSE)</f>
        <v>3621556</v>
      </c>
      <c r="F44" s="228">
        <f>VLOOKUP($A44,[0]!Data,129,FALSE)</f>
        <v>192213</v>
      </c>
      <c r="G44" s="228">
        <f>VLOOKUP($A44,[0]!Data,130,FALSE)</f>
        <v>147500</v>
      </c>
      <c r="H44" s="228">
        <f>VLOOKUP($A44,[0]!Data,131,FALSE)</f>
        <v>339713</v>
      </c>
      <c r="I44" s="228">
        <f>VLOOKUP($A44,[0]!Data,132,FALSE)</f>
        <v>18122</v>
      </c>
      <c r="J44" s="228">
        <f>VLOOKUP($A44,[0]!Data,133,FALSE)</f>
        <v>0</v>
      </c>
      <c r="K44" s="228">
        <f>VLOOKUP($A44,[0]!Data,134,FALSE)</f>
        <v>18122</v>
      </c>
      <c r="L44" s="228">
        <f>VLOOKUP($A44,[0]!Data,135,FALSE)</f>
        <v>184877</v>
      </c>
      <c r="M44" s="230">
        <f>VLOOKUP($A44,[0]!Data,136,FALSE)</f>
        <v>4164268</v>
      </c>
    </row>
    <row r="45" spans="1:13" x14ac:dyDescent="0.25">
      <c r="A45" s="40" t="s">
        <v>1489</v>
      </c>
      <c r="B45" s="40" t="s">
        <v>1962</v>
      </c>
      <c r="C45" s="228">
        <f>VLOOKUP($A45,[0]!Data,126,FALSE)</f>
        <v>0</v>
      </c>
      <c r="D45" s="228">
        <f>VLOOKUP($A45,[0]!Data,127,FALSE)</f>
        <v>1841028</v>
      </c>
      <c r="E45" s="228">
        <f>VLOOKUP($A45,[0]!Data,128,FALSE)</f>
        <v>1841028</v>
      </c>
      <c r="F45" s="228">
        <f>VLOOKUP($A45,[0]!Data,129,FALSE)</f>
        <v>220280</v>
      </c>
      <c r="G45" s="228">
        <f>VLOOKUP($A45,[0]!Data,130,FALSE)</f>
        <v>0</v>
      </c>
      <c r="H45" s="228">
        <f>VLOOKUP($A45,[0]!Data,131,FALSE)</f>
        <v>220280</v>
      </c>
      <c r="I45" s="228">
        <f>VLOOKUP($A45,[0]!Data,132,FALSE)</f>
        <v>13936</v>
      </c>
      <c r="J45" s="228">
        <f>VLOOKUP($A45,[0]!Data,133,FALSE)</f>
        <v>0</v>
      </c>
      <c r="K45" s="228">
        <f>VLOOKUP($A45,[0]!Data,134,FALSE)</f>
        <v>13936</v>
      </c>
      <c r="L45" s="228">
        <f>VLOOKUP($A45,[0]!Data,135,FALSE)</f>
        <v>186379</v>
      </c>
      <c r="M45" s="230">
        <f>VLOOKUP($A45,[0]!Data,136,FALSE)</f>
        <v>2261623</v>
      </c>
    </row>
    <row r="46" spans="1:13" x14ac:dyDescent="0.25">
      <c r="A46" s="40" t="s">
        <v>1501</v>
      </c>
      <c r="B46" s="40" t="s">
        <v>1516</v>
      </c>
      <c r="C46" s="228">
        <f>VLOOKUP($A46,[0]!Data,126,FALSE)</f>
        <v>4000</v>
      </c>
      <c r="D46" s="228">
        <f>VLOOKUP($A46,[0]!Data,127,FALSE)</f>
        <v>2040252</v>
      </c>
      <c r="E46" s="228">
        <f>VLOOKUP($A46,[0]!Data,128,FALSE)</f>
        <v>2044252</v>
      </c>
      <c r="F46" s="228">
        <f>VLOOKUP($A46,[0]!Data,129,FALSE)</f>
        <v>104512</v>
      </c>
      <c r="G46" s="228">
        <f>VLOOKUP($A46,[0]!Data,130,FALSE)</f>
        <v>56310</v>
      </c>
      <c r="H46" s="228">
        <f>VLOOKUP($A46,[0]!Data,131,FALSE)</f>
        <v>160822</v>
      </c>
      <c r="I46" s="228">
        <f>VLOOKUP($A46,[0]!Data,132,FALSE)</f>
        <v>73890</v>
      </c>
      <c r="J46" s="228">
        <f>VLOOKUP($A46,[0]!Data,133,FALSE)</f>
        <v>0</v>
      </c>
      <c r="K46" s="228">
        <f>VLOOKUP($A46,[0]!Data,134,FALSE)</f>
        <v>73890</v>
      </c>
      <c r="L46" s="228">
        <f>VLOOKUP($A46,[0]!Data,135,FALSE)</f>
        <v>60734</v>
      </c>
      <c r="M46" s="230">
        <f>VLOOKUP($A46,[0]!Data,136,FALSE)</f>
        <v>2339698</v>
      </c>
    </row>
    <row r="47" spans="1:13" x14ac:dyDescent="0.25">
      <c r="A47" s="40" t="s">
        <v>1518</v>
      </c>
      <c r="B47" s="40" t="s">
        <v>1963</v>
      </c>
      <c r="C47" s="228">
        <f>VLOOKUP($A47,[0]!Data,126,FALSE)</f>
        <v>0</v>
      </c>
      <c r="D47" s="228">
        <f>VLOOKUP($A47,[0]!Data,127,FALSE)</f>
        <v>706383</v>
      </c>
      <c r="E47" s="228">
        <f>VLOOKUP($A47,[0]!Data,128,FALSE)</f>
        <v>706383</v>
      </c>
      <c r="F47" s="228">
        <f>VLOOKUP($A47,[0]!Data,129,FALSE)</f>
        <v>106500</v>
      </c>
      <c r="G47" s="228">
        <f>VLOOKUP($A47,[0]!Data,130,FALSE)</f>
        <v>0</v>
      </c>
      <c r="H47" s="228">
        <f>VLOOKUP($A47,[0]!Data,131,FALSE)</f>
        <v>106500</v>
      </c>
      <c r="I47" s="228">
        <f>VLOOKUP($A47,[0]!Data,132,FALSE)</f>
        <v>0</v>
      </c>
      <c r="J47" s="228">
        <f>VLOOKUP($A47,[0]!Data,133,FALSE)</f>
        <v>0</v>
      </c>
      <c r="K47" s="228">
        <f>VLOOKUP($A47,[0]!Data,134,FALSE)</f>
        <v>0</v>
      </c>
      <c r="L47" s="228">
        <f>VLOOKUP($A47,[0]!Data,135,FALSE)</f>
        <v>0</v>
      </c>
      <c r="M47" s="230">
        <f>VLOOKUP($A47,[0]!Data,136,FALSE)</f>
        <v>812883</v>
      </c>
    </row>
    <row r="48" spans="1:13" x14ac:dyDescent="0.25">
      <c r="A48" s="40" t="s">
        <v>1544</v>
      </c>
      <c r="B48" s="40" t="s">
        <v>1964</v>
      </c>
      <c r="C48" s="228">
        <f>VLOOKUP($A48,[0]!Data,126,FALSE)</f>
        <v>0</v>
      </c>
      <c r="D48" s="228">
        <f>VLOOKUP($A48,[0]!Data,127,FALSE)</f>
        <v>437419</v>
      </c>
      <c r="E48" s="228">
        <f>VLOOKUP($A48,[0]!Data,128,FALSE)</f>
        <v>437419</v>
      </c>
      <c r="F48" s="228">
        <f>VLOOKUP($A48,[0]!Data,129,FALSE)</f>
        <v>95881</v>
      </c>
      <c r="G48" s="228">
        <f>VLOOKUP($A48,[0]!Data,130,FALSE)</f>
        <v>0</v>
      </c>
      <c r="H48" s="228">
        <f>VLOOKUP($A48,[0]!Data,131,FALSE)</f>
        <v>95881</v>
      </c>
      <c r="I48" s="228">
        <f>VLOOKUP($A48,[0]!Data,132,FALSE)</f>
        <v>0</v>
      </c>
      <c r="J48" s="228">
        <f>VLOOKUP($A48,[0]!Data,133,FALSE)</f>
        <v>0</v>
      </c>
      <c r="K48" s="228">
        <f>VLOOKUP($A48,[0]!Data,134,FALSE)</f>
        <v>0</v>
      </c>
      <c r="L48" s="228">
        <f>VLOOKUP($A48,[0]!Data,135,FALSE)</f>
        <v>0</v>
      </c>
      <c r="M48" s="230">
        <f>VLOOKUP($A48,[0]!Data,136,FALSE)</f>
        <v>533300</v>
      </c>
    </row>
    <row r="49" spans="1:13" x14ac:dyDescent="0.25">
      <c r="A49" s="40" t="s">
        <v>1727</v>
      </c>
      <c r="B49" s="40" t="s">
        <v>1965</v>
      </c>
      <c r="C49" s="228">
        <f>VLOOKUP($A49,[0]!Data,126,FALSE)</f>
        <v>1383466</v>
      </c>
      <c r="D49" s="228">
        <f>VLOOKUP($A49,[0]!Data,127,FALSE)</f>
        <v>593096</v>
      </c>
      <c r="E49" s="228">
        <f>VLOOKUP($A49,[0]!Data,128,FALSE)</f>
        <v>1976562</v>
      </c>
      <c r="F49" s="228">
        <f>VLOOKUP($A49,[0]!Data,129,FALSE)</f>
        <v>190187</v>
      </c>
      <c r="G49" s="228">
        <f>VLOOKUP($A49,[0]!Data,130,FALSE)</f>
        <v>0</v>
      </c>
      <c r="H49" s="228">
        <f>VLOOKUP($A49,[0]!Data,131,FALSE)</f>
        <v>190187</v>
      </c>
      <c r="I49" s="228">
        <f>VLOOKUP($A49,[0]!Data,132,FALSE)</f>
        <v>0</v>
      </c>
      <c r="J49" s="228">
        <f>VLOOKUP($A49,[0]!Data,133,FALSE)</f>
        <v>0</v>
      </c>
      <c r="K49" s="228">
        <f>VLOOKUP($A49,[0]!Data,134,FALSE)</f>
        <v>0</v>
      </c>
      <c r="L49" s="228">
        <f>VLOOKUP($A49,[0]!Data,135,FALSE)</f>
        <v>168342</v>
      </c>
      <c r="M49" s="230">
        <f>VLOOKUP($A49,[0]!Data,136,FALSE)</f>
        <v>2335091</v>
      </c>
    </row>
    <row r="50" spans="1:13" x14ac:dyDescent="0.25">
      <c r="A50" s="40" t="s">
        <v>1573</v>
      </c>
      <c r="B50" s="40" t="s">
        <v>1966</v>
      </c>
      <c r="C50" s="228">
        <f>VLOOKUP($A50,[0]!Data,126,FALSE)</f>
        <v>0</v>
      </c>
      <c r="D50" s="228">
        <f>VLOOKUP($A50,[0]!Data,127,FALSE)</f>
        <v>474797</v>
      </c>
      <c r="E50" s="228">
        <f>VLOOKUP($A50,[0]!Data,128,FALSE)</f>
        <v>474797</v>
      </c>
      <c r="F50" s="228">
        <f>VLOOKUP($A50,[0]!Data,129,FALSE)</f>
        <v>76970</v>
      </c>
      <c r="G50" s="228">
        <f>VLOOKUP($A50,[0]!Data,130,FALSE)</f>
        <v>0</v>
      </c>
      <c r="H50" s="228">
        <f>VLOOKUP($A50,[0]!Data,131,FALSE)</f>
        <v>76970</v>
      </c>
      <c r="I50" s="228">
        <f>VLOOKUP($A50,[0]!Data,132,FALSE)</f>
        <v>16717</v>
      </c>
      <c r="J50" s="228">
        <f>VLOOKUP($A50,[0]!Data,133,FALSE)</f>
        <v>0</v>
      </c>
      <c r="K50" s="228">
        <f>VLOOKUP($A50,[0]!Data,134,FALSE)</f>
        <v>16717</v>
      </c>
      <c r="L50" s="228">
        <f>VLOOKUP($A50,[0]!Data,135,FALSE)</f>
        <v>19022</v>
      </c>
      <c r="M50" s="230">
        <f>VLOOKUP($A50,[0]!Data,136,FALSE)</f>
        <v>587506</v>
      </c>
    </row>
    <row r="51" spans="1:13" x14ac:dyDescent="0.25">
      <c r="A51" s="40" t="s">
        <v>1597</v>
      </c>
      <c r="B51" s="40" t="s">
        <v>1967</v>
      </c>
      <c r="C51" s="228">
        <f>VLOOKUP($A51,[0]!Data,126,FALSE)</f>
        <v>717553</v>
      </c>
      <c r="D51" s="228">
        <f>VLOOKUP($A51,[0]!Data,127,FALSE)</f>
        <v>1941178</v>
      </c>
      <c r="E51" s="228">
        <f>VLOOKUP($A51,[0]!Data,128,FALSE)</f>
        <v>2658731</v>
      </c>
      <c r="F51" s="228">
        <f>VLOOKUP($A51,[0]!Data,129,FALSE)</f>
        <v>182414</v>
      </c>
      <c r="G51" s="228">
        <f>VLOOKUP($A51,[0]!Data,130,FALSE)</f>
        <v>0</v>
      </c>
      <c r="H51" s="228">
        <f>VLOOKUP($A51,[0]!Data,131,FALSE)</f>
        <v>182414</v>
      </c>
      <c r="I51" s="228">
        <f>VLOOKUP($A51,[0]!Data,132,FALSE)</f>
        <v>0</v>
      </c>
      <c r="J51" s="228">
        <f>VLOOKUP($A51,[0]!Data,133,FALSE)</f>
        <v>0</v>
      </c>
      <c r="K51" s="228">
        <f>VLOOKUP($A51,[0]!Data,134,FALSE)</f>
        <v>0</v>
      </c>
      <c r="L51" s="228">
        <f>VLOOKUP($A51,[0]!Data,135,FALSE)</f>
        <v>142765</v>
      </c>
      <c r="M51" s="230">
        <f>VLOOKUP($A51,[0]!Data,136,FALSE)</f>
        <v>2983910</v>
      </c>
    </row>
    <row r="52" spans="1:13" x14ac:dyDescent="0.25">
      <c r="A52" s="40" t="s">
        <v>1625</v>
      </c>
      <c r="B52" s="40" t="s">
        <v>1968</v>
      </c>
      <c r="C52" s="228">
        <f>VLOOKUP($A52,[0]!Data,126,FALSE)</f>
        <v>333930</v>
      </c>
      <c r="D52" s="228">
        <f>VLOOKUP($A52,[0]!Data,127,FALSE)</f>
        <v>560000</v>
      </c>
      <c r="E52" s="228">
        <f>VLOOKUP($A52,[0]!Data,128,FALSE)</f>
        <v>893930</v>
      </c>
      <c r="F52" s="228">
        <f>VLOOKUP($A52,[0]!Data,129,FALSE)</f>
        <v>213479</v>
      </c>
      <c r="G52" s="228">
        <f>VLOOKUP($A52,[0]!Data,130,FALSE)</f>
        <v>0</v>
      </c>
      <c r="H52" s="228">
        <f>VLOOKUP($A52,[0]!Data,131,FALSE)</f>
        <v>213479</v>
      </c>
      <c r="I52" s="228">
        <f>VLOOKUP($A52,[0]!Data,132,FALSE)</f>
        <v>14236</v>
      </c>
      <c r="J52" s="228">
        <f>VLOOKUP($A52,[0]!Data,133,FALSE)</f>
        <v>0</v>
      </c>
      <c r="K52" s="228">
        <f>VLOOKUP($A52,[0]!Data,134,FALSE)</f>
        <v>14236</v>
      </c>
      <c r="L52" s="228">
        <f>VLOOKUP($A52,[0]!Data,135,FALSE)</f>
        <v>137560</v>
      </c>
      <c r="M52" s="230">
        <f>VLOOKUP($A52,[0]!Data,136,FALSE)</f>
        <v>1259205</v>
      </c>
    </row>
    <row r="53" spans="1:13" x14ac:dyDescent="0.25">
      <c r="A53" s="40" t="s">
        <v>1638</v>
      </c>
      <c r="B53" s="40" t="s">
        <v>1969</v>
      </c>
      <c r="C53" s="228">
        <f>VLOOKUP($A53,[0]!Data,126,FALSE)</f>
        <v>2600</v>
      </c>
      <c r="D53" s="228">
        <f>VLOOKUP($A53,[0]!Data,127,FALSE)</f>
        <v>1611509</v>
      </c>
      <c r="E53" s="228">
        <f>VLOOKUP($A53,[0]!Data,128,FALSE)</f>
        <v>1614109</v>
      </c>
      <c r="F53" s="228">
        <f>VLOOKUP($A53,[0]!Data,129,FALSE)</f>
        <v>139180</v>
      </c>
      <c r="G53" s="228">
        <f>VLOOKUP($A53,[0]!Data,130,FALSE)</f>
        <v>0</v>
      </c>
      <c r="H53" s="228">
        <f>VLOOKUP($A53,[0]!Data,131,FALSE)</f>
        <v>139180</v>
      </c>
      <c r="I53" s="228">
        <f>VLOOKUP($A53,[0]!Data,132,FALSE)</f>
        <v>1400</v>
      </c>
      <c r="J53" s="228">
        <f>VLOOKUP($A53,[0]!Data,133,FALSE)</f>
        <v>0</v>
      </c>
      <c r="K53" s="228">
        <f>VLOOKUP($A53,[0]!Data,134,FALSE)</f>
        <v>1400</v>
      </c>
      <c r="L53" s="228">
        <f>VLOOKUP($A53,[0]!Data,135,FALSE)</f>
        <v>140806</v>
      </c>
      <c r="M53" s="230">
        <f>VLOOKUP($A53,[0]!Data,136,FALSE)</f>
        <v>1895495</v>
      </c>
    </row>
    <row r="54" spans="1:13" x14ac:dyDescent="0.25">
      <c r="A54" s="40" t="s">
        <v>1655</v>
      </c>
      <c r="B54" s="40" t="s">
        <v>1970</v>
      </c>
      <c r="C54" s="228">
        <f>VLOOKUP($A54,[0]!Data,126,FALSE)</f>
        <v>0</v>
      </c>
      <c r="D54" s="228">
        <f>VLOOKUP($A54,[0]!Data,127,FALSE)</f>
        <v>3447651</v>
      </c>
      <c r="E54" s="228">
        <f>VLOOKUP($A54,[0]!Data,128,FALSE)</f>
        <v>3447651</v>
      </c>
      <c r="F54" s="228">
        <f>VLOOKUP($A54,[0]!Data,129,FALSE)</f>
        <v>178656</v>
      </c>
      <c r="G54" s="228">
        <f>VLOOKUP($A54,[0]!Data,130,FALSE)</f>
        <v>36106</v>
      </c>
      <c r="H54" s="228">
        <f>VLOOKUP($A54,[0]!Data,131,FALSE)</f>
        <v>214762</v>
      </c>
      <c r="I54" s="228">
        <f>VLOOKUP($A54,[0]!Data,132,FALSE)</f>
        <v>0</v>
      </c>
      <c r="J54" s="228">
        <f>VLOOKUP($A54,[0]!Data,133,FALSE)</f>
        <v>0</v>
      </c>
      <c r="K54" s="228">
        <f>VLOOKUP($A54,[0]!Data,134,FALSE)</f>
        <v>0</v>
      </c>
      <c r="L54" s="228">
        <f>VLOOKUP($A54,[0]!Data,135,FALSE)</f>
        <v>147007</v>
      </c>
      <c r="M54" s="230">
        <f>VLOOKUP($A54,[0]!Data,136,FALSE)</f>
        <v>3809420</v>
      </c>
    </row>
    <row r="55" spans="1:13" x14ac:dyDescent="0.25">
      <c r="A55" s="40" t="s">
        <v>1671</v>
      </c>
      <c r="B55" s="40" t="s">
        <v>1971</v>
      </c>
      <c r="C55" s="228">
        <f>VLOOKUP($A55,[0]!Data,126,FALSE)</f>
        <v>0</v>
      </c>
      <c r="D55" s="228">
        <f>VLOOKUP($A55,[0]!Data,127,FALSE)</f>
        <v>462921</v>
      </c>
      <c r="E55" s="228">
        <f>VLOOKUP($A55,[0]!Data,128,FALSE)</f>
        <v>462921</v>
      </c>
      <c r="F55" s="228">
        <f>VLOOKUP($A55,[0]!Data,129,FALSE)</f>
        <v>123147</v>
      </c>
      <c r="G55" s="228">
        <f>VLOOKUP($A55,[0]!Data,130,FALSE)</f>
        <v>0</v>
      </c>
      <c r="H55" s="228">
        <f>VLOOKUP($A55,[0]!Data,131,FALSE)</f>
        <v>123147</v>
      </c>
      <c r="I55" s="228">
        <f>VLOOKUP($A55,[0]!Data,132,FALSE)</f>
        <v>1145</v>
      </c>
      <c r="J55" s="228">
        <f>VLOOKUP($A55,[0]!Data,133,FALSE)</f>
        <v>0</v>
      </c>
      <c r="K55" s="228">
        <f>VLOOKUP($A55,[0]!Data,134,FALSE)</f>
        <v>1145</v>
      </c>
      <c r="L55" s="228">
        <f>VLOOKUP($A55,[0]!Data,135,FALSE)</f>
        <v>26698</v>
      </c>
      <c r="M55" s="230">
        <f>VLOOKUP($A55,[0]!Data,136,FALSE)</f>
        <v>613911</v>
      </c>
    </row>
    <row r="56" spans="1:13" x14ac:dyDescent="0.25">
      <c r="A56" s="40" t="s">
        <v>1683</v>
      </c>
      <c r="B56" s="40" t="s">
        <v>1972</v>
      </c>
      <c r="C56" s="228">
        <f>VLOOKUP($A56,[0]!Data,126,FALSE)</f>
        <v>4000</v>
      </c>
      <c r="D56" s="228">
        <f>VLOOKUP($A56,[0]!Data,127,FALSE)</f>
        <v>685912</v>
      </c>
      <c r="E56" s="228">
        <f>VLOOKUP($A56,[0]!Data,128,FALSE)</f>
        <v>689912</v>
      </c>
      <c r="F56" s="228">
        <f>VLOOKUP($A56,[0]!Data,129,FALSE)</f>
        <v>119379</v>
      </c>
      <c r="G56" s="228">
        <f>VLOOKUP($A56,[0]!Data,130,FALSE)</f>
        <v>0</v>
      </c>
      <c r="H56" s="228">
        <f>VLOOKUP($A56,[0]!Data,131,FALSE)</f>
        <v>119379</v>
      </c>
      <c r="I56" s="228">
        <f>VLOOKUP($A56,[0]!Data,132,FALSE)</f>
        <v>0</v>
      </c>
      <c r="J56" s="228">
        <f>VLOOKUP($A56,[0]!Data,133,FALSE)</f>
        <v>0</v>
      </c>
      <c r="K56" s="228">
        <f>VLOOKUP($A56,[0]!Data,134,FALSE)</f>
        <v>0</v>
      </c>
      <c r="L56" s="228">
        <f>VLOOKUP($A56,[0]!Data,135,FALSE)</f>
        <v>31448</v>
      </c>
      <c r="M56" s="230">
        <f>VLOOKUP($A56,[0]!Data,136,FALSE)</f>
        <v>840739</v>
      </c>
    </row>
    <row r="57" spans="1:13" x14ac:dyDescent="0.25">
      <c r="A57" s="40" t="s">
        <v>1714</v>
      </c>
      <c r="B57" s="40" t="s">
        <v>1973</v>
      </c>
      <c r="C57" s="228">
        <f>VLOOKUP($A57,[0]!Data,126,FALSE)</f>
        <v>0</v>
      </c>
      <c r="D57" s="228">
        <f>VLOOKUP($A57,[0]!Data,127,FALSE)</f>
        <v>366507</v>
      </c>
      <c r="E57" s="228">
        <f>VLOOKUP($A57,[0]!Data,128,FALSE)</f>
        <v>366507</v>
      </c>
      <c r="F57" s="228">
        <f>VLOOKUP($A57,[0]!Data,129,FALSE)</f>
        <v>102867</v>
      </c>
      <c r="G57" s="228">
        <f>VLOOKUP($A57,[0]!Data,130,FALSE)</f>
        <v>0</v>
      </c>
      <c r="H57" s="228">
        <f>VLOOKUP($A57,[0]!Data,131,FALSE)</f>
        <v>102867</v>
      </c>
      <c r="I57" s="228">
        <f>VLOOKUP($A57,[0]!Data,132,FALSE)</f>
        <v>19679</v>
      </c>
      <c r="J57" s="228">
        <f>VLOOKUP($A57,[0]!Data,133,FALSE)</f>
        <v>0</v>
      </c>
      <c r="K57" s="228">
        <f>VLOOKUP($A57,[0]!Data,134,FALSE)</f>
        <v>19679</v>
      </c>
      <c r="L57" s="228">
        <f>VLOOKUP($A57,[0]!Data,135,FALSE)</f>
        <v>8804</v>
      </c>
      <c r="M57" s="230">
        <f>VLOOKUP($A57,[0]!Data,136,FALSE)</f>
        <v>497857</v>
      </c>
    </row>
    <row r="58" spans="1:13" x14ac:dyDescent="0.25">
      <c r="A58" s="40" t="s">
        <v>1756</v>
      </c>
      <c r="B58" s="40" t="s">
        <v>1974</v>
      </c>
      <c r="C58" s="228">
        <f>VLOOKUP($A58,[0]!Data,126,FALSE)</f>
        <v>0</v>
      </c>
      <c r="D58" s="228">
        <f>VLOOKUP($A58,[0]!Data,127,FALSE)</f>
        <v>1168723</v>
      </c>
      <c r="E58" s="228">
        <f>VLOOKUP($A58,[0]!Data,128,FALSE)</f>
        <v>1168723</v>
      </c>
      <c r="F58" s="228">
        <f>VLOOKUP($A58,[0]!Data,129,FALSE)</f>
        <v>114412</v>
      </c>
      <c r="G58" s="228">
        <f>VLOOKUP($A58,[0]!Data,130,FALSE)</f>
        <v>0</v>
      </c>
      <c r="H58" s="228">
        <f>VLOOKUP($A58,[0]!Data,131,FALSE)</f>
        <v>114412</v>
      </c>
      <c r="I58" s="228">
        <f>VLOOKUP($A58,[0]!Data,132,FALSE)</f>
        <v>0</v>
      </c>
      <c r="J58" s="228">
        <f>VLOOKUP($A58,[0]!Data,133,FALSE)</f>
        <v>0</v>
      </c>
      <c r="K58" s="228">
        <f>VLOOKUP($A58,[0]!Data,134,FALSE)</f>
        <v>0</v>
      </c>
      <c r="L58" s="228">
        <f>VLOOKUP($A58,[0]!Data,135,FALSE)</f>
        <v>21987</v>
      </c>
      <c r="M58" s="230">
        <f>VLOOKUP($A58,[0]!Data,136,FALSE)</f>
        <v>1305122</v>
      </c>
    </row>
    <row r="59" spans="1:13" x14ac:dyDescent="0.25">
      <c r="A59" s="40" t="s">
        <v>1768</v>
      </c>
      <c r="B59" s="40" t="s">
        <v>1975</v>
      </c>
      <c r="C59" s="228">
        <f>VLOOKUP($A59,[0]!Data,126,FALSE)</f>
        <v>0</v>
      </c>
      <c r="D59" s="228">
        <f>VLOOKUP($A59,[0]!Data,127,FALSE)</f>
        <v>1338810</v>
      </c>
      <c r="E59" s="228">
        <f>VLOOKUP($A59,[0]!Data,128,FALSE)</f>
        <v>1338810</v>
      </c>
      <c r="F59" s="228">
        <f>VLOOKUP($A59,[0]!Data,129,FALSE)</f>
        <v>87304</v>
      </c>
      <c r="G59" s="228">
        <f>VLOOKUP($A59,[0]!Data,130,FALSE)</f>
        <v>0</v>
      </c>
      <c r="H59" s="228">
        <f>VLOOKUP($A59,[0]!Data,131,FALSE)</f>
        <v>87304</v>
      </c>
      <c r="I59" s="228">
        <f>VLOOKUP($A59,[0]!Data,132,FALSE)</f>
        <v>48626</v>
      </c>
      <c r="J59" s="228">
        <f>VLOOKUP($A59,[0]!Data,133,FALSE)</f>
        <v>14376</v>
      </c>
      <c r="K59" s="228">
        <f>VLOOKUP($A59,[0]!Data,134,FALSE)</f>
        <v>63002</v>
      </c>
      <c r="L59" s="228">
        <f>VLOOKUP($A59,[0]!Data,135,FALSE)</f>
        <v>4000</v>
      </c>
      <c r="M59" s="230">
        <f>VLOOKUP($A59,[0]!Data,136,FALSE)</f>
        <v>1493116</v>
      </c>
    </row>
    <row r="60" spans="1:13" x14ac:dyDescent="0.25">
      <c r="A60" s="40" t="s">
        <v>1784</v>
      </c>
      <c r="B60" s="40" t="s">
        <v>1976</v>
      </c>
      <c r="C60" s="228">
        <f>VLOOKUP($A60,[0]!Data,126,FALSE)</f>
        <v>0</v>
      </c>
      <c r="D60" s="228">
        <f>VLOOKUP($A60,[0]!Data,127,FALSE)</f>
        <v>4278782</v>
      </c>
      <c r="E60" s="228">
        <f>VLOOKUP($A60,[0]!Data,128,FALSE)</f>
        <v>4278782</v>
      </c>
      <c r="F60" s="228">
        <f>VLOOKUP($A60,[0]!Data,129,FALSE)</f>
        <v>196444</v>
      </c>
      <c r="G60" s="228">
        <f>VLOOKUP($A60,[0]!Data,130,FALSE)</f>
        <v>0</v>
      </c>
      <c r="H60" s="228">
        <f>VLOOKUP($A60,[0]!Data,131,FALSE)</f>
        <v>196444</v>
      </c>
      <c r="I60" s="228">
        <f>VLOOKUP($A60,[0]!Data,132,FALSE)</f>
        <v>27684</v>
      </c>
      <c r="J60" s="228">
        <f>VLOOKUP($A60,[0]!Data,133,FALSE)</f>
        <v>0</v>
      </c>
      <c r="K60" s="228">
        <f>VLOOKUP($A60,[0]!Data,134,FALSE)</f>
        <v>27684</v>
      </c>
      <c r="L60" s="228">
        <f>VLOOKUP($A60,[0]!Data,135,FALSE)</f>
        <v>179273</v>
      </c>
      <c r="M60" s="230">
        <f>VLOOKUP($A60,[0]!Data,136,FALSE)</f>
        <v>4682183</v>
      </c>
    </row>
    <row r="61" spans="1:13" x14ac:dyDescent="0.25">
      <c r="A61" s="40" t="s">
        <v>1531</v>
      </c>
      <c r="B61" s="40" t="s">
        <v>1977</v>
      </c>
      <c r="C61" s="228">
        <f>VLOOKUP($A61,[0]!Data,126,FALSE)</f>
        <v>187400</v>
      </c>
      <c r="D61" s="228">
        <f>VLOOKUP($A61,[0]!Data,127,FALSE)</f>
        <v>562200</v>
      </c>
      <c r="E61" s="228">
        <f>VLOOKUP($A61,[0]!Data,128,FALSE)</f>
        <v>749600</v>
      </c>
      <c r="F61" s="228">
        <f>VLOOKUP($A61,[0]!Data,129,FALSE)</f>
        <v>105090</v>
      </c>
      <c r="G61" s="228">
        <f>VLOOKUP($A61,[0]!Data,130,FALSE)</f>
        <v>0</v>
      </c>
      <c r="H61" s="228">
        <f>VLOOKUP($A61,[0]!Data,131,FALSE)</f>
        <v>105090</v>
      </c>
      <c r="I61" s="228">
        <f>VLOOKUP($A61,[0]!Data,132,FALSE)</f>
        <v>0</v>
      </c>
      <c r="J61" s="228">
        <f>VLOOKUP($A61,[0]!Data,133,FALSE)</f>
        <v>0</v>
      </c>
      <c r="K61" s="228">
        <f>VLOOKUP($A61,[0]!Data,134,FALSE)</f>
        <v>0</v>
      </c>
      <c r="L61" s="228">
        <f>VLOOKUP($A61,[0]!Data,135,FALSE)</f>
        <v>91515</v>
      </c>
      <c r="M61" s="230">
        <f>VLOOKUP($A61,[0]!Data,136,FALSE)</f>
        <v>946205</v>
      </c>
    </row>
    <row r="62" spans="1:13" x14ac:dyDescent="0.25">
      <c r="A62" s="40" t="s">
        <v>1799</v>
      </c>
      <c r="B62" s="40" t="s">
        <v>1978</v>
      </c>
      <c r="C62" s="228">
        <f>VLOOKUP($A62,[0]!Data,126,FALSE)</f>
        <v>0</v>
      </c>
      <c r="D62" s="228">
        <f>VLOOKUP($A62,[0]!Data,127,FALSE)</f>
        <v>24746123</v>
      </c>
      <c r="E62" s="228">
        <f>VLOOKUP($A62,[0]!Data,128,FALSE)</f>
        <v>24746123</v>
      </c>
      <c r="F62" s="228">
        <f>VLOOKUP($A62,[0]!Data,129,FALSE)</f>
        <v>583152</v>
      </c>
      <c r="G62" s="228">
        <f>VLOOKUP($A62,[0]!Data,130,FALSE)</f>
        <v>0</v>
      </c>
      <c r="H62" s="228">
        <f>VLOOKUP($A62,[0]!Data,131,FALSE)</f>
        <v>583152</v>
      </c>
      <c r="I62" s="228">
        <f>VLOOKUP($A62,[0]!Data,132,FALSE)</f>
        <v>0</v>
      </c>
      <c r="J62" s="228">
        <f>VLOOKUP($A62,[0]!Data,133,FALSE)</f>
        <v>0</v>
      </c>
      <c r="K62" s="228">
        <f>VLOOKUP($A62,[0]!Data,134,FALSE)</f>
        <v>0</v>
      </c>
      <c r="L62" s="228">
        <f>VLOOKUP($A62,[0]!Data,135,FALSE)</f>
        <v>0</v>
      </c>
      <c r="M62" s="230">
        <f>VLOOKUP($A62,[0]!Data,136,FALSE)</f>
        <v>25329275</v>
      </c>
    </row>
    <row r="63" spans="1:13" x14ac:dyDescent="0.25">
      <c r="A63" s="40" t="s">
        <v>1814</v>
      </c>
      <c r="B63" s="40" t="s">
        <v>1979</v>
      </c>
      <c r="C63" s="228">
        <f>VLOOKUP($A63,[0]!Data,126,FALSE)</f>
        <v>0</v>
      </c>
      <c r="D63" s="228">
        <f>VLOOKUP($A63,[0]!Data,127,FALSE)</f>
        <v>398242</v>
      </c>
      <c r="E63" s="228">
        <f>VLOOKUP($A63,[0]!Data,128,FALSE)</f>
        <v>398242</v>
      </c>
      <c r="F63" s="228">
        <f>VLOOKUP($A63,[0]!Data,129,FALSE)</f>
        <v>82116</v>
      </c>
      <c r="G63" s="228">
        <f>VLOOKUP($A63,[0]!Data,130,FALSE)</f>
        <v>0</v>
      </c>
      <c r="H63" s="228">
        <f>VLOOKUP($A63,[0]!Data,131,FALSE)</f>
        <v>82116</v>
      </c>
      <c r="I63" s="228">
        <f>VLOOKUP($A63,[0]!Data,132,FALSE)</f>
        <v>18995</v>
      </c>
      <c r="J63" s="228">
        <f>VLOOKUP($A63,[0]!Data,133,FALSE)</f>
        <v>0</v>
      </c>
      <c r="K63" s="228">
        <f>VLOOKUP($A63,[0]!Data,134,FALSE)</f>
        <v>18995</v>
      </c>
      <c r="L63" s="228">
        <f>VLOOKUP($A63,[0]!Data,135,FALSE)</f>
        <v>11826</v>
      </c>
      <c r="M63" s="230">
        <f>VLOOKUP($A63,[0]!Data,136,FALSE)</f>
        <v>511179</v>
      </c>
    </row>
    <row r="64" spans="1:13" x14ac:dyDescent="0.25">
      <c r="A64" s="40" t="s">
        <v>1826</v>
      </c>
      <c r="B64" s="40" t="s">
        <v>1980</v>
      </c>
      <c r="C64" s="228">
        <f>VLOOKUP($A64,[0]!Data,126,FALSE)</f>
        <v>0</v>
      </c>
      <c r="D64" s="228">
        <f>VLOOKUP($A64,[0]!Data,127,FALSE)</f>
        <v>1676812</v>
      </c>
      <c r="E64" s="228">
        <f>VLOOKUP($A64,[0]!Data,128,FALSE)</f>
        <v>1676812</v>
      </c>
      <c r="F64" s="228">
        <f>VLOOKUP($A64,[0]!Data,129,FALSE)</f>
        <v>163051</v>
      </c>
      <c r="G64" s="228">
        <f>VLOOKUP($A64,[0]!Data,130,FALSE)</f>
        <v>115559</v>
      </c>
      <c r="H64" s="228">
        <f>VLOOKUP($A64,[0]!Data,131,FALSE)</f>
        <v>278610</v>
      </c>
      <c r="I64" s="228">
        <f>VLOOKUP($A64,[0]!Data,132,FALSE)</f>
        <v>44177</v>
      </c>
      <c r="J64" s="228">
        <f>VLOOKUP($A64,[0]!Data,133,FALSE)</f>
        <v>0</v>
      </c>
      <c r="K64" s="228">
        <f>VLOOKUP($A64,[0]!Data,134,FALSE)</f>
        <v>44177</v>
      </c>
      <c r="L64" s="228">
        <f>VLOOKUP($A64,[0]!Data,135,FALSE)</f>
        <v>0</v>
      </c>
      <c r="M64" s="230">
        <f>VLOOKUP($A64,[0]!Data,136,FALSE)</f>
        <v>1999599</v>
      </c>
    </row>
    <row r="65" spans="1:13" x14ac:dyDescent="0.25">
      <c r="A65" s="40" t="s">
        <v>1842</v>
      </c>
      <c r="B65" s="40" t="s">
        <v>1981</v>
      </c>
      <c r="C65" s="228">
        <f>VLOOKUP($A65,[0]!Data,126,FALSE)</f>
        <v>0</v>
      </c>
      <c r="D65" s="228">
        <f>VLOOKUP($A65,[0]!Data,127,FALSE)</f>
        <v>1808619</v>
      </c>
      <c r="E65" s="228">
        <f>VLOOKUP($A65,[0]!Data,128,FALSE)</f>
        <v>1808619</v>
      </c>
      <c r="F65" s="228">
        <f>VLOOKUP($A65,[0]!Data,129,FALSE)</f>
        <v>129720</v>
      </c>
      <c r="G65" s="228">
        <f>VLOOKUP($A65,[0]!Data,130,FALSE)</f>
        <v>0</v>
      </c>
      <c r="H65" s="228">
        <f>VLOOKUP($A65,[0]!Data,131,FALSE)</f>
        <v>129720</v>
      </c>
      <c r="I65" s="228">
        <f>VLOOKUP($A65,[0]!Data,132,FALSE)</f>
        <v>0</v>
      </c>
      <c r="J65" s="228">
        <f>VLOOKUP($A65,[0]!Data,133,FALSE)</f>
        <v>0</v>
      </c>
      <c r="K65" s="228">
        <f>VLOOKUP($A65,[0]!Data,134,FALSE)</f>
        <v>0</v>
      </c>
      <c r="L65" s="228">
        <f>VLOOKUP($A65,[0]!Data,135,FALSE)</f>
        <v>57364</v>
      </c>
      <c r="M65" s="230">
        <f>VLOOKUP($A65,[0]!Data,136,FALSE)</f>
        <v>1995703</v>
      </c>
    </row>
    <row r="66" spans="1:13" ht="15.75" thickBot="1" x14ac:dyDescent="0.3">
      <c r="A66" s="648" t="s">
        <v>1873</v>
      </c>
      <c r="B66" s="670"/>
      <c r="C66" s="232">
        <f t="shared" ref="C66:M66" si="0">SUM(C8:C65)</f>
        <v>12405743</v>
      </c>
      <c r="D66" s="232">
        <f t="shared" si="0"/>
        <v>165383599</v>
      </c>
      <c r="E66" s="232">
        <f t="shared" si="0"/>
        <v>177789342</v>
      </c>
      <c r="F66" s="232">
        <f t="shared" si="0"/>
        <v>9503625</v>
      </c>
      <c r="G66" s="232">
        <f t="shared" si="0"/>
        <v>500977</v>
      </c>
      <c r="H66" s="232">
        <f t="shared" si="0"/>
        <v>10004602</v>
      </c>
      <c r="I66" s="232">
        <f t="shared" si="0"/>
        <v>915469</v>
      </c>
      <c r="J66" s="232">
        <f t="shared" si="0"/>
        <v>80461</v>
      </c>
      <c r="K66" s="232">
        <f t="shared" si="0"/>
        <v>995930</v>
      </c>
      <c r="L66" s="232">
        <f t="shared" si="0"/>
        <v>6361802</v>
      </c>
      <c r="M66" s="232">
        <f t="shared" si="0"/>
        <v>195151676</v>
      </c>
    </row>
    <row r="67" spans="1:13" ht="16.5" thickTop="1" thickBot="1" x14ac:dyDescent="0.3">
      <c r="A67" s="637" t="s">
        <v>1866</v>
      </c>
      <c r="B67" s="637"/>
      <c r="C67" s="235"/>
      <c r="D67" s="235"/>
      <c r="E67" s="235"/>
      <c r="F67" s="236"/>
      <c r="G67" s="236"/>
      <c r="H67" s="236"/>
      <c r="I67" s="236"/>
      <c r="J67" s="237"/>
      <c r="K67" s="237"/>
      <c r="L67" s="237"/>
      <c r="M67" s="238"/>
    </row>
    <row r="68" spans="1:13" ht="15.75" thickTop="1" x14ac:dyDescent="0.25">
      <c r="A68" s="55" t="s">
        <v>692</v>
      </c>
      <c r="B68" s="55" t="s">
        <v>1982</v>
      </c>
      <c r="C68" s="228">
        <f>VLOOKUP($A68,[0]!Data,126,FALSE)</f>
        <v>227175</v>
      </c>
      <c r="D68" s="228">
        <f>VLOOKUP($A68,[0]!Data,127,FALSE)</f>
        <v>495536</v>
      </c>
      <c r="E68" s="228">
        <f>VLOOKUP($A68,[0]!Data,128,FALSE)</f>
        <v>722711</v>
      </c>
      <c r="F68" s="228">
        <f>VLOOKUP($A68,[0]!Data,129,FALSE)</f>
        <v>391386</v>
      </c>
      <c r="G68" s="228">
        <f>VLOOKUP($A68,[0]!Data,130,FALSE)</f>
        <v>0</v>
      </c>
      <c r="H68" s="228">
        <f>VLOOKUP($A68,[0]!Data,131,FALSE)</f>
        <v>391386</v>
      </c>
      <c r="I68" s="228">
        <f>VLOOKUP($A68,[0]!Data,132,FALSE)</f>
        <v>0</v>
      </c>
      <c r="J68" s="228">
        <f>VLOOKUP($A68,[0]!Data,133,FALSE)</f>
        <v>0</v>
      </c>
      <c r="K68" s="228">
        <f>VLOOKUP($A68,[0]!Data,134,FALSE)</f>
        <v>0</v>
      </c>
      <c r="L68" s="228">
        <f>VLOOKUP($A68,[0]!Data,135,FALSE)</f>
        <v>140655</v>
      </c>
      <c r="M68" s="229">
        <f>VLOOKUP($A68,[0]!Data,136,FALSE)</f>
        <v>1254752</v>
      </c>
    </row>
    <row r="69" spans="1:13" x14ac:dyDescent="0.25">
      <c r="A69" s="239" t="s">
        <v>739</v>
      </c>
      <c r="B69" s="239" t="s">
        <v>1983</v>
      </c>
      <c r="C69" s="228">
        <f>VLOOKUP($A69,[0]!Data,126,FALSE)</f>
        <v>80716</v>
      </c>
      <c r="D69" s="228">
        <f>VLOOKUP($A69,[0]!Data,127,FALSE)</f>
        <v>314356</v>
      </c>
      <c r="E69" s="228">
        <f>VLOOKUP($A69,[0]!Data,128,FALSE)</f>
        <v>395072</v>
      </c>
      <c r="F69" s="228">
        <f>VLOOKUP($A69,[0]!Data,129,FALSE)</f>
        <v>295077</v>
      </c>
      <c r="G69" s="228">
        <f>VLOOKUP($A69,[0]!Data,130,FALSE)</f>
        <v>0</v>
      </c>
      <c r="H69" s="228">
        <f>VLOOKUP($A69,[0]!Data,131,FALSE)</f>
        <v>295077</v>
      </c>
      <c r="I69" s="228">
        <f>VLOOKUP($A69,[0]!Data,132,FALSE)</f>
        <v>0</v>
      </c>
      <c r="J69" s="228">
        <f>VLOOKUP($A69,[0]!Data,133,FALSE)</f>
        <v>0</v>
      </c>
      <c r="K69" s="228">
        <f>VLOOKUP($A69,[0]!Data,134,FALSE)</f>
        <v>0</v>
      </c>
      <c r="L69" s="228">
        <f>VLOOKUP($A69,[0]!Data,135,FALSE)</f>
        <v>153497</v>
      </c>
      <c r="M69" s="230">
        <f>VLOOKUP($A69,[0]!Data,136,FALSE)</f>
        <v>843646</v>
      </c>
    </row>
    <row r="70" spans="1:13" x14ac:dyDescent="0.25">
      <c r="A70" s="239" t="s">
        <v>723</v>
      </c>
      <c r="B70" s="239" t="s">
        <v>1984</v>
      </c>
      <c r="C70" s="228">
        <f>VLOOKUP($A70,[0]!Data,126,FALSE)</f>
        <v>2000</v>
      </c>
      <c r="D70" s="228">
        <f>VLOOKUP($A70,[0]!Data,127,FALSE)</f>
        <v>1561193</v>
      </c>
      <c r="E70" s="228">
        <f>VLOOKUP($A70,[0]!Data,128,FALSE)</f>
        <v>1563193</v>
      </c>
      <c r="F70" s="228">
        <f>VLOOKUP($A70,[0]!Data,129,FALSE)</f>
        <v>383838</v>
      </c>
      <c r="G70" s="228">
        <f>VLOOKUP($A70,[0]!Data,130,FALSE)</f>
        <v>0</v>
      </c>
      <c r="H70" s="228">
        <f>VLOOKUP($A70,[0]!Data,131,FALSE)</f>
        <v>383838</v>
      </c>
      <c r="I70" s="228">
        <f>VLOOKUP($A70,[0]!Data,132,FALSE)</f>
        <v>15266</v>
      </c>
      <c r="J70" s="228">
        <f>VLOOKUP($A70,[0]!Data,133,FALSE)</f>
        <v>0</v>
      </c>
      <c r="K70" s="228">
        <f>VLOOKUP($A70,[0]!Data,134,FALSE)</f>
        <v>15266</v>
      </c>
      <c r="L70" s="228">
        <f>VLOOKUP($A70,[0]!Data,135,FALSE)</f>
        <v>936784</v>
      </c>
      <c r="M70" s="230">
        <f>VLOOKUP($A70,[0]!Data,136,FALSE)</f>
        <v>2899081</v>
      </c>
    </row>
    <row r="71" spans="1:13" x14ac:dyDescent="0.25">
      <c r="A71" s="239" t="s">
        <v>760</v>
      </c>
      <c r="B71" s="239" t="s">
        <v>1985</v>
      </c>
      <c r="C71" s="228">
        <f>VLOOKUP($A71,[0]!Data,126,FALSE)</f>
        <v>124150</v>
      </c>
      <c r="D71" s="228">
        <f>VLOOKUP($A71,[0]!Data,127,FALSE)</f>
        <v>344732</v>
      </c>
      <c r="E71" s="228">
        <f>VLOOKUP($A71,[0]!Data,128,FALSE)</f>
        <v>468882</v>
      </c>
      <c r="F71" s="228">
        <f>VLOOKUP($A71,[0]!Data,129,FALSE)</f>
        <v>302831</v>
      </c>
      <c r="G71" s="228">
        <f>VLOOKUP($A71,[0]!Data,130,FALSE)</f>
        <v>0</v>
      </c>
      <c r="H71" s="228">
        <f>VLOOKUP($A71,[0]!Data,131,FALSE)</f>
        <v>302831</v>
      </c>
      <c r="I71" s="228">
        <f>VLOOKUP($A71,[0]!Data,132,FALSE)</f>
        <v>40756</v>
      </c>
      <c r="J71" s="228">
        <f>VLOOKUP($A71,[0]!Data,133,FALSE)</f>
        <v>0</v>
      </c>
      <c r="K71" s="228">
        <f>VLOOKUP($A71,[0]!Data,134,FALSE)</f>
        <v>40756</v>
      </c>
      <c r="L71" s="228">
        <f>VLOOKUP($A71,[0]!Data,135,FALSE)</f>
        <v>77175</v>
      </c>
      <c r="M71" s="230">
        <f>VLOOKUP($A71,[0]!Data,136,FALSE)</f>
        <v>889644</v>
      </c>
    </row>
    <row r="72" spans="1:13" x14ac:dyDescent="0.25">
      <c r="A72" s="239" t="s">
        <v>975</v>
      </c>
      <c r="B72" s="239" t="s">
        <v>1986</v>
      </c>
      <c r="C72" s="228">
        <f>VLOOKUP($A72,[0]!Data,126,FALSE)</f>
        <v>163965</v>
      </c>
      <c r="D72" s="228">
        <f>VLOOKUP($A72,[0]!Data,127,FALSE)</f>
        <v>2725310</v>
      </c>
      <c r="E72" s="228">
        <f>VLOOKUP($A72,[0]!Data,128,FALSE)</f>
        <v>2889275</v>
      </c>
      <c r="F72" s="228">
        <f>VLOOKUP($A72,[0]!Data,129,FALSE)</f>
        <v>379113</v>
      </c>
      <c r="G72" s="228">
        <f>VLOOKUP($A72,[0]!Data,130,FALSE)</f>
        <v>38000</v>
      </c>
      <c r="H72" s="228">
        <f>VLOOKUP($A72,[0]!Data,131,FALSE)</f>
        <v>417113</v>
      </c>
      <c r="I72" s="228">
        <f>VLOOKUP($A72,[0]!Data,132,FALSE)</f>
        <v>103249</v>
      </c>
      <c r="J72" s="228">
        <f>VLOOKUP($A72,[0]!Data,133,FALSE)</f>
        <v>0</v>
      </c>
      <c r="K72" s="228">
        <f>VLOOKUP($A72,[0]!Data,134,FALSE)</f>
        <v>103249</v>
      </c>
      <c r="L72" s="228">
        <f>VLOOKUP($A72,[0]!Data,135,FALSE)</f>
        <v>544052</v>
      </c>
      <c r="M72" s="230">
        <f>VLOOKUP($A72,[0]!Data,136,FALSE)</f>
        <v>3953689</v>
      </c>
    </row>
    <row r="73" spans="1:13" x14ac:dyDescent="0.25">
      <c r="A73" s="239" t="s">
        <v>1071</v>
      </c>
      <c r="B73" s="239" t="s">
        <v>1987</v>
      </c>
      <c r="C73" s="228">
        <f>VLOOKUP($A73,[0]!Data,126,FALSE)</f>
        <v>2000</v>
      </c>
      <c r="D73" s="228">
        <f>VLOOKUP($A73,[0]!Data,127,FALSE)</f>
        <v>2330002</v>
      </c>
      <c r="E73" s="228">
        <f>VLOOKUP($A73,[0]!Data,128,FALSE)</f>
        <v>2332002</v>
      </c>
      <c r="F73" s="228">
        <f>VLOOKUP($A73,[0]!Data,129,FALSE)</f>
        <v>390107</v>
      </c>
      <c r="G73" s="228">
        <f>VLOOKUP($A73,[0]!Data,130,FALSE)</f>
        <v>0</v>
      </c>
      <c r="H73" s="228">
        <f>VLOOKUP($A73,[0]!Data,131,FALSE)</f>
        <v>390107</v>
      </c>
      <c r="I73" s="228">
        <f>VLOOKUP($A73,[0]!Data,132,FALSE)</f>
        <v>0</v>
      </c>
      <c r="J73" s="228">
        <f>VLOOKUP($A73,[0]!Data,133,FALSE)</f>
        <v>0</v>
      </c>
      <c r="K73" s="228">
        <f>VLOOKUP($A73,[0]!Data,134,FALSE)</f>
        <v>0</v>
      </c>
      <c r="L73" s="228">
        <f>VLOOKUP($A73,[0]!Data,135,FALSE)</f>
        <v>84826</v>
      </c>
      <c r="M73" s="230">
        <f>VLOOKUP($A73,[0]!Data,136,FALSE)</f>
        <v>2806935</v>
      </c>
    </row>
    <row r="74" spans="1:13" x14ac:dyDescent="0.25">
      <c r="A74" s="239" t="s">
        <v>1111</v>
      </c>
      <c r="B74" s="239" t="s">
        <v>1988</v>
      </c>
      <c r="C74" s="228">
        <f>VLOOKUP($A74,[0]!Data,126,FALSE)</f>
        <v>19890</v>
      </c>
      <c r="D74" s="228">
        <f>VLOOKUP($A74,[0]!Data,127,FALSE)</f>
        <v>2300512</v>
      </c>
      <c r="E74" s="228">
        <f>VLOOKUP($A74,[0]!Data,128,FALSE)</f>
        <v>2320402</v>
      </c>
      <c r="F74" s="228">
        <f>VLOOKUP($A74,[0]!Data,129,FALSE)</f>
        <v>326025</v>
      </c>
      <c r="G74" s="228">
        <f>VLOOKUP($A74,[0]!Data,130,FALSE)</f>
        <v>54408</v>
      </c>
      <c r="H74" s="228">
        <f>VLOOKUP($A74,[0]!Data,131,FALSE)</f>
        <v>380433</v>
      </c>
      <c r="I74" s="228">
        <f>VLOOKUP($A74,[0]!Data,132,FALSE)</f>
        <v>55168</v>
      </c>
      <c r="J74" s="228">
        <f>VLOOKUP($A74,[0]!Data,133,FALSE)</f>
        <v>0</v>
      </c>
      <c r="K74" s="228">
        <f>VLOOKUP($A74,[0]!Data,134,FALSE)</f>
        <v>55168</v>
      </c>
      <c r="L74" s="228">
        <f>VLOOKUP($A74,[0]!Data,135,FALSE)</f>
        <v>550017</v>
      </c>
      <c r="M74" s="230">
        <f>VLOOKUP($A74,[0]!Data,136,FALSE)</f>
        <v>3306020</v>
      </c>
    </row>
    <row r="75" spans="1:13" x14ac:dyDescent="0.25">
      <c r="A75" s="239" t="s">
        <v>1425</v>
      </c>
      <c r="B75" s="239" t="s">
        <v>1989</v>
      </c>
      <c r="C75" s="228">
        <f>VLOOKUP($A75,[0]!Data,126,FALSE)</f>
        <v>484095</v>
      </c>
      <c r="D75" s="228">
        <f>VLOOKUP($A75,[0]!Data,127,FALSE)</f>
        <v>365084</v>
      </c>
      <c r="E75" s="228">
        <f>VLOOKUP($A75,[0]!Data,128,FALSE)</f>
        <v>849179</v>
      </c>
      <c r="F75" s="228">
        <f>VLOOKUP($A75,[0]!Data,129,FALSE)</f>
        <v>295570</v>
      </c>
      <c r="G75" s="228">
        <f>VLOOKUP($A75,[0]!Data,130,FALSE)</f>
        <v>0</v>
      </c>
      <c r="H75" s="228">
        <f>VLOOKUP($A75,[0]!Data,131,FALSE)</f>
        <v>295570</v>
      </c>
      <c r="I75" s="228">
        <f>VLOOKUP($A75,[0]!Data,132,FALSE)</f>
        <v>0</v>
      </c>
      <c r="J75" s="228">
        <f>VLOOKUP($A75,[0]!Data,133,FALSE)</f>
        <v>0</v>
      </c>
      <c r="K75" s="228">
        <f>VLOOKUP($A75,[0]!Data,134,FALSE)</f>
        <v>0</v>
      </c>
      <c r="L75" s="228">
        <f>VLOOKUP($A75,[0]!Data,135,FALSE)</f>
        <v>83020</v>
      </c>
      <c r="M75" s="230">
        <f>VLOOKUP($A75,[0]!Data,136,FALSE)</f>
        <v>1227769</v>
      </c>
    </row>
    <row r="76" spans="1:13" x14ac:dyDescent="0.25">
      <c r="A76" s="239" t="s">
        <v>1442</v>
      </c>
      <c r="B76" s="239" t="s">
        <v>1990</v>
      </c>
      <c r="C76" s="228">
        <f>VLOOKUP($A76,[0]!Data,126,FALSE)</f>
        <v>204250</v>
      </c>
      <c r="D76" s="228">
        <f>VLOOKUP($A76,[0]!Data,127,FALSE)</f>
        <v>960756</v>
      </c>
      <c r="E76" s="228">
        <f>VLOOKUP($A76,[0]!Data,128,FALSE)</f>
        <v>1165006</v>
      </c>
      <c r="F76" s="228">
        <f>VLOOKUP($A76,[0]!Data,129,FALSE)</f>
        <v>334704</v>
      </c>
      <c r="G76" s="228">
        <f>VLOOKUP($A76,[0]!Data,130,FALSE)</f>
        <v>0</v>
      </c>
      <c r="H76" s="228">
        <f>VLOOKUP($A76,[0]!Data,131,FALSE)</f>
        <v>334704</v>
      </c>
      <c r="I76" s="228">
        <f>VLOOKUP($A76,[0]!Data,132,FALSE)</f>
        <v>31000</v>
      </c>
      <c r="J76" s="228">
        <f>VLOOKUP($A76,[0]!Data,133,FALSE)</f>
        <v>0</v>
      </c>
      <c r="K76" s="228">
        <f>VLOOKUP($A76,[0]!Data,134,FALSE)</f>
        <v>31000</v>
      </c>
      <c r="L76" s="228">
        <f>VLOOKUP($A76,[0]!Data,135,FALSE)</f>
        <v>649075</v>
      </c>
      <c r="M76" s="230">
        <f>VLOOKUP($A76,[0]!Data,136,FALSE)</f>
        <v>2179785</v>
      </c>
    </row>
    <row r="77" spans="1:13" x14ac:dyDescent="0.25">
      <c r="A77" s="239" t="s">
        <v>1472</v>
      </c>
      <c r="B77" s="239" t="s">
        <v>1991</v>
      </c>
      <c r="C77" s="228">
        <f>VLOOKUP($A77,[0]!Data,126,FALSE)</f>
        <v>305718</v>
      </c>
      <c r="D77" s="228">
        <f>VLOOKUP($A77,[0]!Data,127,FALSE)</f>
        <v>1557122</v>
      </c>
      <c r="E77" s="228">
        <f>VLOOKUP($A77,[0]!Data,128,FALSE)</f>
        <v>1862840</v>
      </c>
      <c r="F77" s="228">
        <f>VLOOKUP($A77,[0]!Data,129,FALSE)</f>
        <v>457202</v>
      </c>
      <c r="G77" s="228">
        <f>VLOOKUP($A77,[0]!Data,130,FALSE)</f>
        <v>0</v>
      </c>
      <c r="H77" s="228">
        <f>VLOOKUP($A77,[0]!Data,131,FALSE)</f>
        <v>457202</v>
      </c>
      <c r="I77" s="228">
        <f>VLOOKUP($A77,[0]!Data,132,FALSE)</f>
        <v>0</v>
      </c>
      <c r="J77" s="228">
        <f>VLOOKUP($A77,[0]!Data,133,FALSE)</f>
        <v>0</v>
      </c>
      <c r="K77" s="228">
        <f>VLOOKUP($A77,[0]!Data,134,FALSE)</f>
        <v>0</v>
      </c>
      <c r="L77" s="228">
        <f>VLOOKUP($A77,[0]!Data,135,FALSE)</f>
        <v>72723</v>
      </c>
      <c r="M77" s="230">
        <f>VLOOKUP($A77,[0]!Data,136,FALSE)</f>
        <v>2392765</v>
      </c>
    </row>
    <row r="78" spans="1:13" x14ac:dyDescent="0.25">
      <c r="A78" s="239" t="s">
        <v>1558</v>
      </c>
      <c r="B78" s="239" t="s">
        <v>1992</v>
      </c>
      <c r="C78" s="228">
        <f>VLOOKUP($A78,[0]!Data,126,FALSE)</f>
        <v>0</v>
      </c>
      <c r="D78" s="228">
        <f>VLOOKUP($A78,[0]!Data,127,FALSE)</f>
        <v>651065</v>
      </c>
      <c r="E78" s="228">
        <f>VLOOKUP($A78,[0]!Data,128,FALSE)</f>
        <v>651065</v>
      </c>
      <c r="F78" s="228">
        <f>VLOOKUP($A78,[0]!Data,129,FALSE)</f>
        <v>354816</v>
      </c>
      <c r="G78" s="228">
        <f>VLOOKUP($A78,[0]!Data,130,FALSE)</f>
        <v>0</v>
      </c>
      <c r="H78" s="228">
        <f>VLOOKUP($A78,[0]!Data,131,FALSE)</f>
        <v>354816</v>
      </c>
      <c r="I78" s="228">
        <f>VLOOKUP($A78,[0]!Data,132,FALSE)</f>
        <v>34008</v>
      </c>
      <c r="J78" s="228">
        <f>VLOOKUP($A78,[0]!Data,133,FALSE)</f>
        <v>0</v>
      </c>
      <c r="K78" s="228">
        <f>VLOOKUP($A78,[0]!Data,134,FALSE)</f>
        <v>34008</v>
      </c>
      <c r="L78" s="228">
        <f>VLOOKUP($A78,[0]!Data,135,FALSE)</f>
        <v>95674</v>
      </c>
      <c r="M78" s="230">
        <f>VLOOKUP($A78,[0]!Data,136,FALSE)</f>
        <v>1135563</v>
      </c>
    </row>
    <row r="79" spans="1:13" x14ac:dyDescent="0.25">
      <c r="A79" s="239" t="s">
        <v>1696</v>
      </c>
      <c r="B79" s="239" t="s">
        <v>1993</v>
      </c>
      <c r="C79" s="228">
        <f>VLOOKUP($A79,[0]!Data,126,FALSE)</f>
        <v>162710</v>
      </c>
      <c r="D79" s="228">
        <f>VLOOKUP($A79,[0]!Data,127,FALSE)</f>
        <v>1808356</v>
      </c>
      <c r="E79" s="228">
        <f>VLOOKUP($A79,[0]!Data,128,FALSE)</f>
        <v>1971066</v>
      </c>
      <c r="F79" s="228">
        <f>VLOOKUP($A79,[0]!Data,129,FALSE)</f>
        <v>548476</v>
      </c>
      <c r="G79" s="228">
        <f>VLOOKUP($A79,[0]!Data,130,FALSE)</f>
        <v>20000</v>
      </c>
      <c r="H79" s="228">
        <f>VLOOKUP($A79,[0]!Data,131,FALSE)</f>
        <v>568476</v>
      </c>
      <c r="I79" s="228">
        <f>VLOOKUP($A79,[0]!Data,132,FALSE)</f>
        <v>31931</v>
      </c>
      <c r="J79" s="228">
        <f>VLOOKUP($A79,[0]!Data,133,FALSE)</f>
        <v>122248</v>
      </c>
      <c r="K79" s="228">
        <f>VLOOKUP($A79,[0]!Data,134,FALSE)</f>
        <v>154179</v>
      </c>
      <c r="L79" s="228">
        <f>VLOOKUP($A79,[0]!Data,135,FALSE)</f>
        <v>142963</v>
      </c>
      <c r="M79" s="230">
        <f>VLOOKUP($A79,[0]!Data,136,FALSE)</f>
        <v>2836684</v>
      </c>
    </row>
    <row r="80" spans="1:13" ht="15.75" thickBot="1" x14ac:dyDescent="0.3">
      <c r="A80" s="648" t="s">
        <v>1873</v>
      </c>
      <c r="B80" s="649"/>
      <c r="C80" s="233">
        <f t="shared" ref="C80:M80" si="1">SUM(C68:C79)</f>
        <v>1776669</v>
      </c>
      <c r="D80" s="233">
        <f t="shared" si="1"/>
        <v>15414024</v>
      </c>
      <c r="E80" s="233">
        <f t="shared" si="1"/>
        <v>17190693</v>
      </c>
      <c r="F80" s="233">
        <f t="shared" si="1"/>
        <v>4459145</v>
      </c>
      <c r="G80" s="233">
        <f t="shared" si="1"/>
        <v>112408</v>
      </c>
      <c r="H80" s="233">
        <f t="shared" si="1"/>
        <v>4571553</v>
      </c>
      <c r="I80" s="233">
        <f t="shared" si="1"/>
        <v>311378</v>
      </c>
      <c r="J80" s="233">
        <f t="shared" si="1"/>
        <v>122248</v>
      </c>
      <c r="K80" s="233">
        <f t="shared" si="1"/>
        <v>433626</v>
      </c>
      <c r="L80" s="233">
        <f t="shared" si="1"/>
        <v>3530461</v>
      </c>
      <c r="M80" s="234">
        <f t="shared" si="1"/>
        <v>25726333</v>
      </c>
    </row>
    <row r="81" spans="1:13" ht="16.5" thickTop="1" thickBot="1" x14ac:dyDescent="0.3">
      <c r="A81" s="58"/>
      <c r="B81" s="35" t="s">
        <v>1867</v>
      </c>
      <c r="C81" s="235"/>
      <c r="D81" s="235"/>
      <c r="E81" s="235"/>
      <c r="F81" s="236"/>
      <c r="G81" s="236"/>
      <c r="H81" s="236"/>
      <c r="I81" s="236"/>
      <c r="J81" s="237"/>
      <c r="K81" s="237"/>
      <c r="L81" s="237"/>
      <c r="M81" s="238"/>
    </row>
    <row r="82" spans="1:13" ht="16.5" customHeight="1" thickTop="1" x14ac:dyDescent="0.25">
      <c r="A82" s="55" t="s">
        <v>897</v>
      </c>
      <c r="B82" s="55" t="s">
        <v>1994</v>
      </c>
      <c r="C82" s="228">
        <f>VLOOKUP($A82,[0]!Data,126,FALSE)</f>
        <v>2125506</v>
      </c>
      <c r="D82" s="228">
        <f>VLOOKUP($A82,[0]!Data,127,FALSE)</f>
        <v>568139</v>
      </c>
      <c r="E82" s="228">
        <f>VLOOKUP($A82,[0]!Data,128,FALSE)</f>
        <v>2693645</v>
      </c>
      <c r="F82" s="228">
        <f>VLOOKUP($A82,[0]!Data,129,FALSE)</f>
        <v>28064</v>
      </c>
      <c r="G82" s="228">
        <f>VLOOKUP($A82,[0]!Data,130,FALSE)</f>
        <v>0</v>
      </c>
      <c r="H82" s="228">
        <f>VLOOKUP($A82,[0]!Data,131,FALSE)</f>
        <v>28064</v>
      </c>
      <c r="I82" s="228">
        <f>VLOOKUP($A82,[0]!Data,132,FALSE)</f>
        <v>102459</v>
      </c>
      <c r="J82" s="228">
        <f>VLOOKUP($A82,[0]!Data,133,FALSE)</f>
        <v>0</v>
      </c>
      <c r="K82" s="228">
        <f>VLOOKUP($A82,[0]!Data,134,FALSE)</f>
        <v>102459</v>
      </c>
      <c r="L82" s="228">
        <f>VLOOKUP($A82,[0]!Data,135,FALSE)</f>
        <v>194077</v>
      </c>
      <c r="M82" s="229">
        <f>VLOOKUP($A82,[0]!Data,136,FALSE)</f>
        <v>3018245</v>
      </c>
    </row>
    <row r="83" spans="1:13" ht="16.5" customHeight="1" x14ac:dyDescent="0.25">
      <c r="A83" s="55" t="s">
        <v>1312</v>
      </c>
      <c r="B83" s="55" t="s">
        <v>1868</v>
      </c>
      <c r="C83" s="228">
        <f>VLOOKUP($A83,[0]!Data,126,FALSE)</f>
        <v>516578</v>
      </c>
      <c r="D83" s="228">
        <f>VLOOKUP($A83,[0]!Data,127,FALSE)</f>
        <v>0</v>
      </c>
      <c r="E83" s="228">
        <f>VLOOKUP($A83,[0]!Data,128,FALSE)</f>
        <v>516578</v>
      </c>
      <c r="F83" s="228">
        <f>VLOOKUP($A83,[0]!Data,129,FALSE)</f>
        <v>11636</v>
      </c>
      <c r="G83" s="228">
        <f>VLOOKUP($A83,[0]!Data,130,FALSE)</f>
        <v>0</v>
      </c>
      <c r="H83" s="228">
        <f>VLOOKUP($A83,[0]!Data,131,FALSE)</f>
        <v>11636</v>
      </c>
      <c r="I83" s="228">
        <f>VLOOKUP($A83,[0]!Data,132,FALSE)</f>
        <v>0</v>
      </c>
      <c r="J83" s="228">
        <f>VLOOKUP($A83,[0]!Data,133,FALSE)</f>
        <v>0</v>
      </c>
      <c r="K83" s="228">
        <f>VLOOKUP($A83,[0]!Data,134,FALSE)</f>
        <v>0</v>
      </c>
      <c r="L83" s="228">
        <f>VLOOKUP($A83,[0]!Data,135,FALSE)</f>
        <v>26939</v>
      </c>
      <c r="M83" s="230">
        <f>VLOOKUP($A83,[0]!Data,136,FALSE)</f>
        <v>555153</v>
      </c>
    </row>
    <row r="84" spans="1:13" x14ac:dyDescent="0.25">
      <c r="A84" s="55" t="s">
        <v>1100</v>
      </c>
      <c r="B84" s="55" t="s">
        <v>1995</v>
      </c>
      <c r="C84" s="228">
        <f>VLOOKUP($A84,[0]!Data,126,FALSE)</f>
        <v>306301</v>
      </c>
      <c r="D84" s="228">
        <f>VLOOKUP($A84,[0]!Data,127,FALSE)</f>
        <v>5000</v>
      </c>
      <c r="E84" s="228">
        <f>VLOOKUP($A84,[0]!Data,128,FALSE)</f>
        <v>311301</v>
      </c>
      <c r="F84" s="228">
        <f>VLOOKUP($A84,[0]!Data,129,FALSE)</f>
        <v>3820</v>
      </c>
      <c r="G84" s="228">
        <f>VLOOKUP($A84,[0]!Data,130,FALSE)</f>
        <v>0</v>
      </c>
      <c r="H84" s="228">
        <f>VLOOKUP($A84,[0]!Data,131,FALSE)</f>
        <v>3820</v>
      </c>
      <c r="I84" s="228">
        <f>VLOOKUP($A84,[0]!Data,132,FALSE)</f>
        <v>30565</v>
      </c>
      <c r="J84" s="228">
        <f>VLOOKUP($A84,[0]!Data,133,FALSE)</f>
        <v>0</v>
      </c>
      <c r="K84" s="228">
        <f>VLOOKUP($A84,[0]!Data,134,FALSE)</f>
        <v>30565</v>
      </c>
      <c r="L84" s="228">
        <f>VLOOKUP($A84,[0]!Data,135,FALSE)</f>
        <v>0</v>
      </c>
      <c r="M84" s="230">
        <f>VLOOKUP($A84,[0]!Data,136,FALSE)</f>
        <v>345686</v>
      </c>
    </row>
    <row r="85" spans="1:13" x14ac:dyDescent="0.25">
      <c r="A85" s="55" t="s">
        <v>1281</v>
      </c>
      <c r="B85" s="55" t="s">
        <v>1996</v>
      </c>
      <c r="C85" s="228">
        <f>VLOOKUP($A85,[0]!Data,126,FALSE)</f>
        <v>1540275</v>
      </c>
      <c r="D85" s="228">
        <f>VLOOKUP($A85,[0]!Data,127,FALSE)</f>
        <v>219000</v>
      </c>
      <c r="E85" s="228">
        <f>VLOOKUP($A85,[0]!Data,128,FALSE)</f>
        <v>1759275</v>
      </c>
      <c r="F85" s="228">
        <f>VLOOKUP($A85,[0]!Data,129,FALSE)</f>
        <v>26804</v>
      </c>
      <c r="G85" s="228">
        <f>VLOOKUP($A85,[0]!Data,130,FALSE)</f>
        <v>0</v>
      </c>
      <c r="H85" s="228">
        <f>VLOOKUP($A85,[0]!Data,131,FALSE)</f>
        <v>26804</v>
      </c>
      <c r="I85" s="228">
        <f>VLOOKUP($A85,[0]!Data,132,FALSE)</f>
        <v>0</v>
      </c>
      <c r="J85" s="228">
        <f>VLOOKUP($A85,[0]!Data,133,FALSE)</f>
        <v>0</v>
      </c>
      <c r="K85" s="228">
        <f>VLOOKUP($A85,[0]!Data,134,FALSE)</f>
        <v>0</v>
      </c>
      <c r="L85" s="228">
        <f>VLOOKUP($A85,[0]!Data,135,FALSE)</f>
        <v>87300</v>
      </c>
      <c r="M85" s="230">
        <f>VLOOKUP($A85,[0]!Data,136,FALSE)</f>
        <v>1873379</v>
      </c>
    </row>
    <row r="86" spans="1:13" x14ac:dyDescent="0.25">
      <c r="A86" s="55" t="s">
        <v>1297</v>
      </c>
      <c r="B86" s="55" t="s">
        <v>1997</v>
      </c>
      <c r="C86" s="228">
        <f>VLOOKUP($A86,[0]!Data,126,FALSE)</f>
        <v>4348248</v>
      </c>
      <c r="D86" s="228">
        <f>VLOOKUP($A86,[0]!Data,127,FALSE)</f>
        <v>359960</v>
      </c>
      <c r="E86" s="228">
        <f>VLOOKUP($A86,[0]!Data,128,FALSE)</f>
        <v>4708208</v>
      </c>
      <c r="F86" s="228">
        <f>VLOOKUP($A86,[0]!Data,129,FALSE)</f>
        <v>82737</v>
      </c>
      <c r="G86" s="228">
        <f>VLOOKUP($A86,[0]!Data,130,FALSE)</f>
        <v>0</v>
      </c>
      <c r="H86" s="228">
        <f>VLOOKUP($A86,[0]!Data,131,FALSE)</f>
        <v>82737</v>
      </c>
      <c r="I86" s="228">
        <f>VLOOKUP($A86,[0]!Data,132,FALSE)</f>
        <v>4675</v>
      </c>
      <c r="J86" s="228">
        <f>VLOOKUP($A86,[0]!Data,133,FALSE)</f>
        <v>0</v>
      </c>
      <c r="K86" s="228">
        <f>VLOOKUP($A86,[0]!Data,134,FALSE)</f>
        <v>4675</v>
      </c>
      <c r="L86" s="228">
        <f>VLOOKUP($A86,[0]!Data,135,FALSE)</f>
        <v>0</v>
      </c>
      <c r="M86" s="230">
        <f>VLOOKUP($A86,[0]!Data,136,FALSE)</f>
        <v>4795620</v>
      </c>
    </row>
    <row r="87" spans="1:13" x14ac:dyDescent="0.25">
      <c r="A87" s="55" t="s">
        <v>1341</v>
      </c>
      <c r="B87" s="55" t="s">
        <v>1998</v>
      </c>
      <c r="C87" s="228">
        <f>VLOOKUP($A87,[0]!Data,126,FALSE)</f>
        <v>626476</v>
      </c>
      <c r="D87" s="228">
        <f>VLOOKUP($A87,[0]!Data,127,FALSE)</f>
        <v>70000</v>
      </c>
      <c r="E87" s="228">
        <f>VLOOKUP($A87,[0]!Data,128,FALSE)</f>
        <v>696476</v>
      </c>
      <c r="F87" s="228">
        <f>VLOOKUP($A87,[0]!Data,129,FALSE)</f>
        <v>9117</v>
      </c>
      <c r="G87" s="228">
        <f>VLOOKUP($A87,[0]!Data,130,FALSE)</f>
        <v>0</v>
      </c>
      <c r="H87" s="228">
        <f>VLOOKUP($A87,[0]!Data,131,FALSE)</f>
        <v>9117</v>
      </c>
      <c r="I87" s="228">
        <f>VLOOKUP($A87,[0]!Data,132,FALSE)</f>
        <v>35757</v>
      </c>
      <c r="J87" s="228">
        <f>VLOOKUP($A87,[0]!Data,133,FALSE)</f>
        <v>0</v>
      </c>
      <c r="K87" s="228">
        <f>VLOOKUP($A87,[0]!Data,134,FALSE)</f>
        <v>35757</v>
      </c>
      <c r="L87" s="228">
        <f>VLOOKUP($A87,[0]!Data,135,FALSE)</f>
        <v>0</v>
      </c>
      <c r="M87" s="230">
        <f>VLOOKUP($A87,[0]!Data,136,FALSE)</f>
        <v>741350</v>
      </c>
    </row>
    <row r="88" spans="1:13" x14ac:dyDescent="0.25">
      <c r="A88" s="55" t="s">
        <v>1409</v>
      </c>
      <c r="B88" s="55" t="s">
        <v>1999</v>
      </c>
      <c r="C88" s="228">
        <f>VLOOKUP($A88,[0]!Data,126,FALSE)</f>
        <v>910571</v>
      </c>
      <c r="D88" s="228">
        <f>VLOOKUP($A88,[0]!Data,127,FALSE)</f>
        <v>1287275</v>
      </c>
      <c r="E88" s="228">
        <f>VLOOKUP($A88,[0]!Data,128,FALSE)</f>
        <v>2197846</v>
      </c>
      <c r="F88" s="228">
        <f>VLOOKUP($A88,[0]!Data,129,FALSE)</f>
        <v>24381</v>
      </c>
      <c r="G88" s="228">
        <f>VLOOKUP($A88,[0]!Data,130,FALSE)</f>
        <v>918</v>
      </c>
      <c r="H88" s="228">
        <f>VLOOKUP($A88,[0]!Data,131,FALSE)</f>
        <v>25299</v>
      </c>
      <c r="I88" s="228">
        <f>VLOOKUP($A88,[0]!Data,132,FALSE)</f>
        <v>0</v>
      </c>
      <c r="J88" s="228">
        <f>VLOOKUP($A88,[0]!Data,133,FALSE)</f>
        <v>0</v>
      </c>
      <c r="K88" s="228">
        <f>VLOOKUP($A88,[0]!Data,134,FALSE)</f>
        <v>0</v>
      </c>
      <c r="L88" s="228">
        <f>VLOOKUP($A88,[0]!Data,135,FALSE)</f>
        <v>74465</v>
      </c>
      <c r="M88" s="230">
        <f>VLOOKUP($A88,[0]!Data,136,FALSE)</f>
        <v>2297610</v>
      </c>
    </row>
    <row r="89" spans="1:13" x14ac:dyDescent="0.25">
      <c r="A89" s="55" t="s">
        <v>1245</v>
      </c>
      <c r="B89" s="55" t="s">
        <v>2000</v>
      </c>
      <c r="C89" s="228">
        <f>VLOOKUP($A89,[0]!Data,126,FALSE)</f>
        <v>182824</v>
      </c>
      <c r="D89" s="228">
        <f>VLOOKUP($A89,[0]!Data,127,FALSE)</f>
        <v>14000</v>
      </c>
      <c r="E89" s="228">
        <f>VLOOKUP($A89,[0]!Data,128,FALSE)</f>
        <v>196824</v>
      </c>
      <c r="F89" s="228">
        <f>VLOOKUP($A89,[0]!Data,129,FALSE)</f>
        <v>3855</v>
      </c>
      <c r="G89" s="228">
        <f>VLOOKUP($A89,[0]!Data,130,FALSE)</f>
        <v>0</v>
      </c>
      <c r="H89" s="228">
        <f>VLOOKUP($A89,[0]!Data,131,FALSE)</f>
        <v>3855</v>
      </c>
      <c r="I89" s="228">
        <f>VLOOKUP($A89,[0]!Data,132,FALSE)</f>
        <v>0</v>
      </c>
      <c r="J89" s="228">
        <f>VLOOKUP($A89,[0]!Data,133,FALSE)</f>
        <v>0</v>
      </c>
      <c r="K89" s="228">
        <f>VLOOKUP($A89,[0]!Data,134,FALSE)</f>
        <v>0</v>
      </c>
      <c r="L89" s="228">
        <f>VLOOKUP($A89,[0]!Data,135,FALSE)</f>
        <v>0</v>
      </c>
      <c r="M89" s="230">
        <f>VLOOKUP($A89,[0]!Data,136,FALSE)</f>
        <v>200679</v>
      </c>
    </row>
    <row r="90" spans="1:13" x14ac:dyDescent="0.25">
      <c r="A90" s="55" t="s">
        <v>1613</v>
      </c>
      <c r="B90" s="55" t="s">
        <v>2001</v>
      </c>
      <c r="C90" s="228">
        <f>VLOOKUP($A90,[0]!Data,126,FALSE)</f>
        <v>273795</v>
      </c>
      <c r="D90" s="228">
        <f>VLOOKUP($A90,[0]!Data,127,FALSE)</f>
        <v>0</v>
      </c>
      <c r="E90" s="228">
        <f>VLOOKUP($A90,[0]!Data,128,FALSE)</f>
        <v>273795</v>
      </c>
      <c r="F90" s="228">
        <f>VLOOKUP($A90,[0]!Data,129,FALSE)</f>
        <v>13182</v>
      </c>
      <c r="G90" s="228">
        <f>VLOOKUP($A90,[0]!Data,130,FALSE)</f>
        <v>0</v>
      </c>
      <c r="H90" s="228">
        <f>VLOOKUP($A90,[0]!Data,131,FALSE)</f>
        <v>13182</v>
      </c>
      <c r="I90" s="228">
        <f>VLOOKUP($A90,[0]!Data,132,FALSE)</f>
        <v>0</v>
      </c>
      <c r="J90" s="228">
        <f>VLOOKUP($A90,[0]!Data,133,FALSE)</f>
        <v>0</v>
      </c>
      <c r="K90" s="228">
        <f>VLOOKUP($A90,[0]!Data,134,FALSE)</f>
        <v>0</v>
      </c>
      <c r="L90" s="228">
        <f>VLOOKUP($A90,[0]!Data,135,FALSE)</f>
        <v>7022</v>
      </c>
      <c r="M90" s="230">
        <f>VLOOKUP($A90,[0]!Data,136,FALSE)</f>
        <v>293999</v>
      </c>
    </row>
    <row r="91" spans="1:13" x14ac:dyDescent="0.25">
      <c r="A91" s="55" t="s">
        <v>1742</v>
      </c>
      <c r="B91" s="55" t="s">
        <v>2002</v>
      </c>
      <c r="C91" s="228">
        <f>VLOOKUP($A91,[0]!Data,126,FALSE)</f>
        <v>752549</v>
      </c>
      <c r="D91" s="228">
        <f>VLOOKUP($A91,[0]!Data,127,FALSE)</f>
        <v>0</v>
      </c>
      <c r="E91" s="228">
        <f>VLOOKUP($A91,[0]!Data,128,FALSE)</f>
        <v>752549</v>
      </c>
      <c r="F91" s="228">
        <f>VLOOKUP($A91,[0]!Data,129,FALSE)</f>
        <v>6290</v>
      </c>
      <c r="G91" s="228">
        <f>VLOOKUP($A91,[0]!Data,130,FALSE)</f>
        <v>0</v>
      </c>
      <c r="H91" s="228">
        <f>VLOOKUP($A91,[0]!Data,131,FALSE)</f>
        <v>6290</v>
      </c>
      <c r="I91" s="228">
        <f>VLOOKUP($A91,[0]!Data,132,FALSE)</f>
        <v>0</v>
      </c>
      <c r="J91" s="228">
        <f>VLOOKUP($A91,[0]!Data,133,FALSE)</f>
        <v>0</v>
      </c>
      <c r="K91" s="228">
        <f>VLOOKUP($A91,[0]!Data,134,FALSE)</f>
        <v>0</v>
      </c>
      <c r="L91" s="228">
        <f>VLOOKUP($A91,[0]!Data,135,FALSE)</f>
        <v>42112</v>
      </c>
      <c r="M91" s="230">
        <f>VLOOKUP($A91,[0]!Data,136,FALSE)</f>
        <v>800951</v>
      </c>
    </row>
    <row r="92" spans="1:13" x14ac:dyDescent="0.25">
      <c r="A92" s="55" t="s">
        <v>1178</v>
      </c>
      <c r="B92" s="55" t="s">
        <v>2003</v>
      </c>
      <c r="C92" s="228">
        <f>VLOOKUP($A92,[0]!Data,126,FALSE)</f>
        <v>419739</v>
      </c>
      <c r="D92" s="228">
        <f>VLOOKUP($A92,[0]!Data,127,FALSE)</f>
        <v>7800</v>
      </c>
      <c r="E92" s="228">
        <f>VLOOKUP($A92,[0]!Data,128,FALSE)</f>
        <v>427539</v>
      </c>
      <c r="F92" s="228">
        <f>VLOOKUP($A92,[0]!Data,129,FALSE)</f>
        <v>9475</v>
      </c>
      <c r="G92" s="228">
        <f>VLOOKUP($A92,[0]!Data,130,FALSE)</f>
        <v>0</v>
      </c>
      <c r="H92" s="228">
        <f>VLOOKUP($A92,[0]!Data,131,FALSE)</f>
        <v>9475</v>
      </c>
      <c r="I92" s="228">
        <f>VLOOKUP($A92,[0]!Data,132,FALSE)</f>
        <v>4555</v>
      </c>
      <c r="J92" s="228">
        <f>VLOOKUP($A92,[0]!Data,133,FALSE)</f>
        <v>0</v>
      </c>
      <c r="K92" s="228">
        <f>VLOOKUP($A92,[0]!Data,134,FALSE)</f>
        <v>4555</v>
      </c>
      <c r="L92" s="228">
        <f>VLOOKUP($A92,[0]!Data,135,FALSE)</f>
        <v>20569</v>
      </c>
      <c r="M92" s="230">
        <f>VLOOKUP($A92,[0]!Data,136,FALSE)</f>
        <v>462138</v>
      </c>
    </row>
    <row r="93" spans="1:13" x14ac:dyDescent="0.25">
      <c r="A93" s="671" t="s">
        <v>1873</v>
      </c>
      <c r="B93" s="672"/>
      <c r="C93" s="240">
        <f>SUM(C82:C92)</f>
        <v>12002862</v>
      </c>
      <c r="D93" s="241">
        <f t="shared" ref="D93:L93" si="2">SUM(D82:D92)</f>
        <v>2531174</v>
      </c>
      <c r="E93" s="241">
        <f t="shared" si="2"/>
        <v>14534036</v>
      </c>
      <c r="F93" s="241">
        <f t="shared" si="2"/>
        <v>219361</v>
      </c>
      <c r="G93" s="241">
        <f t="shared" si="2"/>
        <v>918</v>
      </c>
      <c r="H93" s="241">
        <f t="shared" si="2"/>
        <v>220279</v>
      </c>
      <c r="I93" s="241">
        <f t="shared" si="2"/>
        <v>178011</v>
      </c>
      <c r="J93" s="241">
        <f t="shared" si="2"/>
        <v>0</v>
      </c>
      <c r="K93" s="241">
        <f t="shared" si="2"/>
        <v>178011</v>
      </c>
      <c r="L93" s="241">
        <f t="shared" si="2"/>
        <v>452484</v>
      </c>
      <c r="M93" s="242">
        <f>SUM(M82:M92)</f>
        <v>15384810</v>
      </c>
    </row>
    <row r="94" spans="1:13" ht="15.75" thickBot="1" x14ac:dyDescent="0.3">
      <c r="A94" s="23"/>
      <c r="B94" s="65"/>
      <c r="C94" s="235"/>
      <c r="D94" s="235"/>
      <c r="E94" s="235"/>
      <c r="F94" s="236"/>
      <c r="G94" s="236"/>
      <c r="H94" s="236"/>
      <c r="I94" s="236"/>
      <c r="J94" s="237"/>
      <c r="K94" s="237"/>
      <c r="L94" s="237"/>
      <c r="M94" s="238"/>
    </row>
    <row r="95" spans="1:13" s="90" customFormat="1" ht="13.5" thickTop="1" x14ac:dyDescent="0.2">
      <c r="A95" s="654" t="s">
        <v>1920</v>
      </c>
      <c r="B95" s="655"/>
      <c r="C95" s="243">
        <f t="shared" ref="C95:M95" si="3">SUM(C93,C80,C66)</f>
        <v>26185274</v>
      </c>
      <c r="D95" s="244">
        <f t="shared" si="3"/>
        <v>183328797</v>
      </c>
      <c r="E95" s="244">
        <f t="shared" si="3"/>
        <v>209514071</v>
      </c>
      <c r="F95" s="244">
        <f t="shared" si="3"/>
        <v>14182131</v>
      </c>
      <c r="G95" s="244">
        <f t="shared" si="3"/>
        <v>614303</v>
      </c>
      <c r="H95" s="244">
        <f t="shared" si="3"/>
        <v>14796434</v>
      </c>
      <c r="I95" s="244">
        <f t="shared" si="3"/>
        <v>1404858</v>
      </c>
      <c r="J95" s="244">
        <f t="shared" si="3"/>
        <v>202709</v>
      </c>
      <c r="K95" s="244">
        <f t="shared" si="3"/>
        <v>1607567</v>
      </c>
      <c r="L95" s="244">
        <f t="shared" si="3"/>
        <v>10344747</v>
      </c>
      <c r="M95" s="245">
        <f t="shared" si="3"/>
        <v>236262819</v>
      </c>
    </row>
  </sheetData>
  <mergeCells count="7">
    <mergeCell ref="A95:B95"/>
    <mergeCell ref="B4:B5"/>
    <mergeCell ref="A7:B7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8"/>
  <sheetViews>
    <sheetView workbookViewId="0">
      <selection activeCell="I1" sqref="I1"/>
    </sheetView>
  </sheetViews>
  <sheetFormatPr defaultColWidth="8.85546875" defaultRowHeight="15.75" x14ac:dyDescent="0.25"/>
  <cols>
    <col min="1" max="1" width="7.42578125" style="284" customWidth="1"/>
    <col min="2" max="2" width="23.42578125" style="284" customWidth="1"/>
    <col min="3" max="3" width="13.28515625" style="285" customWidth="1"/>
    <col min="4" max="4" width="15.85546875" style="285" customWidth="1"/>
    <col min="5" max="5" width="13.28515625" style="285" customWidth="1"/>
    <col min="6" max="6" width="14.85546875" style="286" customWidth="1"/>
    <col min="7" max="7" width="10.7109375" style="286" customWidth="1"/>
    <col min="8" max="8" width="10.28515625" style="286" customWidth="1"/>
    <col min="9" max="9" width="14.42578125" style="286" customWidth="1"/>
  </cols>
  <sheetData>
    <row r="1" spans="1:10" x14ac:dyDescent="0.25">
      <c r="A1" s="131"/>
      <c r="B1" s="132"/>
      <c r="C1" s="134"/>
      <c r="D1" s="134"/>
      <c r="E1" s="134"/>
      <c r="F1" s="132"/>
      <c r="G1" s="132"/>
      <c r="H1" s="132"/>
      <c r="I1" s="15" t="s">
        <v>2271</v>
      </c>
    </row>
    <row r="2" spans="1:10" x14ac:dyDescent="0.25">
      <c r="A2" s="17" t="s">
        <v>1921</v>
      </c>
      <c r="B2" s="18"/>
      <c r="C2" s="139"/>
      <c r="D2" s="139"/>
      <c r="E2" s="139"/>
      <c r="F2" s="18"/>
      <c r="G2" s="18"/>
      <c r="H2" s="18"/>
      <c r="I2" s="22" t="s">
        <v>2004</v>
      </c>
    </row>
    <row r="3" spans="1:10" ht="16.5" thickBot="1" x14ac:dyDescent="0.3">
      <c r="A3" s="142"/>
      <c r="B3" s="18"/>
      <c r="C3" s="139"/>
      <c r="D3" s="139"/>
      <c r="E3" s="139"/>
      <c r="F3" s="18"/>
      <c r="G3" s="18"/>
      <c r="H3" s="18"/>
      <c r="I3" s="249"/>
    </row>
    <row r="4" spans="1:10" s="255" customFormat="1" thickTop="1" x14ac:dyDescent="0.25">
      <c r="A4" s="250"/>
      <c r="B4" s="638"/>
      <c r="C4" s="251" t="s">
        <v>1922</v>
      </c>
      <c r="D4" s="252"/>
      <c r="E4" s="251" t="s">
        <v>1914</v>
      </c>
      <c r="F4" s="253"/>
      <c r="G4" s="253"/>
      <c r="H4" s="253"/>
      <c r="I4" s="254"/>
      <c r="J4" s="144"/>
    </row>
    <row r="5" spans="1:10" s="255" customFormat="1" ht="15" x14ac:dyDescent="0.25">
      <c r="A5" s="256"/>
      <c r="B5" s="639"/>
      <c r="C5" s="257" t="s">
        <v>1923</v>
      </c>
      <c r="D5" s="258" t="s">
        <v>1915</v>
      </c>
      <c r="E5" s="257" t="s">
        <v>1923</v>
      </c>
      <c r="F5" s="259" t="s">
        <v>1924</v>
      </c>
      <c r="G5" s="259"/>
      <c r="H5" s="260"/>
      <c r="I5" s="261"/>
      <c r="J5" s="144"/>
    </row>
    <row r="6" spans="1:10" s="255" customFormat="1" thickBot="1" x14ac:dyDescent="0.3">
      <c r="A6" s="246"/>
      <c r="B6" s="640"/>
      <c r="C6" s="262" t="s">
        <v>1925</v>
      </c>
      <c r="D6" s="262" t="s">
        <v>1925</v>
      </c>
      <c r="E6" s="262" t="s">
        <v>1925</v>
      </c>
      <c r="F6" s="263" t="s">
        <v>1922</v>
      </c>
      <c r="G6" s="263" t="s">
        <v>1915</v>
      </c>
      <c r="H6" s="264" t="s">
        <v>1926</v>
      </c>
      <c r="I6" s="263" t="s">
        <v>803</v>
      </c>
      <c r="J6" s="144"/>
    </row>
    <row r="7" spans="1:10" ht="16.5" thickTop="1" thickBot="1" x14ac:dyDescent="0.3">
      <c r="A7" s="34"/>
      <c r="B7" s="35" t="s">
        <v>1863</v>
      </c>
      <c r="C7" s="153"/>
      <c r="D7" s="153"/>
      <c r="E7" s="153"/>
      <c r="F7" s="225"/>
      <c r="G7" s="225"/>
      <c r="H7" s="225"/>
      <c r="I7" s="108"/>
      <c r="J7" s="16"/>
    </row>
    <row r="8" spans="1:10" thickTop="1" x14ac:dyDescent="0.25">
      <c r="A8" s="40" t="s">
        <v>666</v>
      </c>
      <c r="B8" s="40" t="s">
        <v>1927</v>
      </c>
      <c r="C8" s="247">
        <f>'Table  4'!E8/'Table 1'!D8</f>
        <v>17.613181686722747</v>
      </c>
      <c r="D8" s="247">
        <f>'Table  4'!H8/'Table 1'!D8</f>
        <v>1.1372678461403045</v>
      </c>
      <c r="E8" s="247">
        <f>SUM(C8:D8)</f>
        <v>18.750449532863051</v>
      </c>
      <c r="F8" s="248">
        <f>'Table  4'!E8/'Table  4'!M8</f>
        <v>0.89767267187881017</v>
      </c>
      <c r="G8" s="248">
        <f>'Table  4'!H8/'Table  4'!M8</f>
        <v>5.7961944879964651E-2</v>
      </c>
      <c r="H8" s="248">
        <f>'Table  4'!K8/'Table  4'!M8</f>
        <v>1.1978381108110801E-2</v>
      </c>
      <c r="I8" s="120">
        <f>'Table  4'!L8/'Table  4'!M8</f>
        <v>3.2387002133114413E-2</v>
      </c>
      <c r="J8" s="16"/>
    </row>
    <row r="9" spans="1:10" ht="15" x14ac:dyDescent="0.25">
      <c r="A9" s="40" t="s">
        <v>711</v>
      </c>
      <c r="B9" s="40" t="s">
        <v>1928</v>
      </c>
      <c r="C9" s="247">
        <f>'Table  4'!E9/'Table 1'!D9</f>
        <v>12.861508724271236</v>
      </c>
      <c r="D9" s="247">
        <f>'Table  4'!H9/'Table 1'!D9</f>
        <v>2.5133214920071048</v>
      </c>
      <c r="E9" s="247">
        <f t="shared" ref="E9:E65" si="0">SUM(C9:D9)</f>
        <v>15.37483021627834</v>
      </c>
      <c r="F9" s="248">
        <f>'Table  4'!E9/'Table  4'!M9</f>
        <v>0.81087089698239234</v>
      </c>
      <c r="G9" s="248">
        <f>'Table  4'!H9/'Table  4'!M9</f>
        <v>0.15845569103281096</v>
      </c>
      <c r="H9" s="248">
        <f>'Table  4'!K9/'Table  4'!M9</f>
        <v>1.0883742070628224E-2</v>
      </c>
      <c r="I9" s="120">
        <f>'Table  4'!L9/'Table  4'!M9</f>
        <v>1.9789669914168462E-2</v>
      </c>
      <c r="J9" s="16"/>
    </row>
    <row r="10" spans="1:10" ht="15" x14ac:dyDescent="0.25">
      <c r="A10" s="40" t="s">
        <v>775</v>
      </c>
      <c r="B10" s="40" t="s">
        <v>1929</v>
      </c>
      <c r="C10" s="247">
        <f>'Table  4'!E10/'Table 1'!D10</f>
        <v>12.11731617965212</v>
      </c>
      <c r="D10" s="247">
        <f>'Table  4'!H10/'Table 1'!D10</f>
        <v>2.750454322554591</v>
      </c>
      <c r="E10" s="247">
        <f t="shared" si="0"/>
        <v>14.86777050220671</v>
      </c>
      <c r="F10" s="248">
        <f>'Table  4'!E10/'Table  4'!M10</f>
        <v>0.7645021566236555</v>
      </c>
      <c r="G10" s="248">
        <f>'Table  4'!H10/'Table  4'!M10</f>
        <v>0.17353085700766194</v>
      </c>
      <c r="H10" s="248">
        <f>'Table  4'!K10/'Table  4'!M10</f>
        <v>4.7407501774437186E-2</v>
      </c>
      <c r="I10" s="120">
        <f>'Table  4'!L10/'Table  4'!M10</f>
        <v>1.4559484594245364E-2</v>
      </c>
      <c r="J10" s="16"/>
    </row>
    <row r="11" spans="1:10" ht="15" x14ac:dyDescent="0.25">
      <c r="A11" s="40" t="s">
        <v>804</v>
      </c>
      <c r="B11" s="40" t="s">
        <v>1930</v>
      </c>
      <c r="C11" s="247">
        <f>'Table  4'!E11/'Table 1'!D11</f>
        <v>9.2195694716242667</v>
      </c>
      <c r="D11" s="247">
        <f>'Table  4'!H11/'Table 1'!D11</f>
        <v>1.1133620352250488</v>
      </c>
      <c r="E11" s="247">
        <f t="shared" si="0"/>
        <v>10.332931506849315</v>
      </c>
      <c r="F11" s="248">
        <f>'Table  4'!E11/'Table  4'!M11</f>
        <v>0.89225109694310445</v>
      </c>
      <c r="G11" s="248">
        <f>'Table  4'!H11/'Table  4'!M11</f>
        <v>0.10774890305689559</v>
      </c>
      <c r="H11" s="248">
        <f>'Table  4'!K11/'Table  4'!M11</f>
        <v>0</v>
      </c>
      <c r="I11" s="120">
        <f>'Table  4'!L11/'Table  4'!M11</f>
        <v>0</v>
      </c>
      <c r="J11" s="16"/>
    </row>
    <row r="12" spans="1:10" ht="15" x14ac:dyDescent="0.25">
      <c r="A12" s="40" t="s">
        <v>818</v>
      </c>
      <c r="B12" s="40" t="s">
        <v>1931</v>
      </c>
      <c r="C12" s="247">
        <f>'Table  4'!E12/'Table 1'!D12</f>
        <v>18.251557626370904</v>
      </c>
      <c r="D12" s="247">
        <f>'Table  4'!H12/'Table 1'!D12</f>
        <v>0.8824098511644467</v>
      </c>
      <c r="E12" s="247">
        <f t="shared" si="0"/>
        <v>19.13396747753535</v>
      </c>
      <c r="F12" s="248">
        <f>'Table  4'!E12/'Table  4'!M12</f>
        <v>0.91192289308701446</v>
      </c>
      <c r="G12" s="248">
        <f>'Table  4'!H12/'Table  4'!M12</f>
        <v>4.408882577779015E-2</v>
      </c>
      <c r="H12" s="248">
        <f>'Table  4'!K12/'Table  4'!M12</f>
        <v>0</v>
      </c>
      <c r="I12" s="120">
        <f>'Table  4'!L12/'Table  4'!M12</f>
        <v>4.3988281135195421E-2</v>
      </c>
      <c r="J12" s="16"/>
    </row>
    <row r="13" spans="1:10" ht="15" x14ac:dyDescent="0.25">
      <c r="A13" s="40" t="s">
        <v>831</v>
      </c>
      <c r="B13" s="40" t="s">
        <v>1932</v>
      </c>
      <c r="C13" s="247">
        <f>'Table  4'!E13/'Table 1'!D13</f>
        <v>12.176139592409774</v>
      </c>
      <c r="D13" s="247">
        <f>'Table  4'!H13/'Table 1'!D13</f>
        <v>1.5547372057004691</v>
      </c>
      <c r="E13" s="247">
        <f t="shared" si="0"/>
        <v>13.730876798110243</v>
      </c>
      <c r="F13" s="248">
        <f>'Table  4'!E13/'Table  4'!M13</f>
        <v>0.83801405212568691</v>
      </c>
      <c r="G13" s="248">
        <f>'Table  4'!H13/'Table  4'!M13</f>
        <v>0.10700367023976957</v>
      </c>
      <c r="H13" s="248">
        <f>'Table  4'!K13/'Table  4'!M13</f>
        <v>2.0600428526950113E-2</v>
      </c>
      <c r="I13" s="120">
        <f>'Table  4'!L13/'Table  4'!M13</f>
        <v>3.4381849107593392E-2</v>
      </c>
      <c r="J13" s="16"/>
    </row>
    <row r="14" spans="1:10" ht="15" x14ac:dyDescent="0.25">
      <c r="A14" s="40" t="s">
        <v>843</v>
      </c>
      <c r="B14" s="40" t="s">
        <v>1933</v>
      </c>
      <c r="C14" s="247">
        <f>'Table  4'!E14/'Table 1'!D14</f>
        <v>15.521850067027803</v>
      </c>
      <c r="D14" s="247">
        <f>'Table  4'!H14/'Table 1'!D14</f>
        <v>0.98018070097626364</v>
      </c>
      <c r="E14" s="247">
        <f t="shared" si="0"/>
        <v>16.502030768004065</v>
      </c>
      <c r="F14" s="248">
        <f>'Table  4'!E14/'Table  4'!M14</f>
        <v>0.93310455054067531</v>
      </c>
      <c r="G14" s="248">
        <f>'Table  4'!H14/'Table  4'!M14</f>
        <v>5.8924101732947272E-2</v>
      </c>
      <c r="H14" s="248">
        <f>'Table  4'!K14/'Table  4'!M14</f>
        <v>7.9713477263773785E-3</v>
      </c>
      <c r="I14" s="120">
        <f>'Table  4'!L14/'Table  4'!M14</f>
        <v>0</v>
      </c>
      <c r="J14" s="16"/>
    </row>
    <row r="15" spans="1:10" ht="15" x14ac:dyDescent="0.25">
      <c r="A15" s="40" t="s">
        <v>855</v>
      </c>
      <c r="B15" s="40" t="s">
        <v>1934</v>
      </c>
      <c r="C15" s="247">
        <f>'Table  4'!E15/'Table 1'!D15</f>
        <v>11.801720388537186</v>
      </c>
      <c r="D15" s="247">
        <f>'Table  4'!H15/'Table 1'!D15</f>
        <v>1.6604286473686753</v>
      </c>
      <c r="E15" s="247">
        <f t="shared" si="0"/>
        <v>13.462149035905862</v>
      </c>
      <c r="F15" s="248">
        <f>'Table  4'!E15/'Table  4'!M15</f>
        <v>0.85073185345687219</v>
      </c>
      <c r="G15" s="248">
        <f>'Table  4'!H15/'Table  4'!M15</f>
        <v>0.11969267989782705</v>
      </c>
      <c r="H15" s="248">
        <f>'Table  4'!K15/'Table  4'!M15</f>
        <v>1.1957336779740283E-3</v>
      </c>
      <c r="I15" s="120">
        <f>'Table  4'!L15/'Table  4'!M15</f>
        <v>2.8379732967326772E-2</v>
      </c>
      <c r="J15" s="16"/>
    </row>
    <row r="16" spans="1:10" ht="15" x14ac:dyDescent="0.25">
      <c r="A16" s="40" t="s">
        <v>868</v>
      </c>
      <c r="B16" s="40" t="s">
        <v>1935</v>
      </c>
      <c r="C16" s="247">
        <f>'Table  4'!E16/'Table 1'!D16</f>
        <v>7.6271265144159734</v>
      </c>
      <c r="D16" s="247">
        <f>'Table  4'!H16/'Table 1'!D16</f>
        <v>3.5856726750812613</v>
      </c>
      <c r="E16" s="247">
        <f t="shared" si="0"/>
        <v>11.212799189497234</v>
      </c>
      <c r="F16" s="248">
        <f>'Table  4'!E16/'Table  4'!M16</f>
        <v>0.57164416630545867</v>
      </c>
      <c r="G16" s="248">
        <f>'Table  4'!H16/'Table  4'!M16</f>
        <v>0.26874195191556272</v>
      </c>
      <c r="H16" s="248">
        <f>'Table  4'!K16/'Table  4'!M16</f>
        <v>0.111323793222366</v>
      </c>
      <c r="I16" s="120">
        <f>'Table  4'!L16/'Table  4'!M16</f>
        <v>4.829008855661264E-2</v>
      </c>
      <c r="J16" s="16"/>
    </row>
    <row r="17" spans="1:10" ht="15" x14ac:dyDescent="0.25">
      <c r="A17" s="40" t="s">
        <v>881</v>
      </c>
      <c r="B17" s="40" t="s">
        <v>1936</v>
      </c>
      <c r="C17" s="247">
        <f>'Table  4'!E17/'Table 1'!D17</f>
        <v>21.108399076721671</v>
      </c>
      <c r="D17" s="247">
        <f>'Table  4'!H17/'Table 1'!D17</f>
        <v>1.2873876046439521</v>
      </c>
      <c r="E17" s="247">
        <f t="shared" si="0"/>
        <v>22.395786681365625</v>
      </c>
      <c r="F17" s="248">
        <f>'Table  4'!E17/'Table  4'!M17</f>
        <v>0.90351866092843458</v>
      </c>
      <c r="G17" s="248">
        <f>'Table  4'!H17/'Table  4'!M17</f>
        <v>5.5105018642864358E-2</v>
      </c>
      <c r="H17" s="248">
        <f>'Table  4'!K17/'Table  4'!M17</f>
        <v>1.7036636159267645E-2</v>
      </c>
      <c r="I17" s="120">
        <f>'Table  4'!L17/'Table  4'!M17</f>
        <v>2.4339684269433445E-2</v>
      </c>
      <c r="J17" s="16"/>
    </row>
    <row r="18" spans="1:10" ht="15" x14ac:dyDescent="0.25">
      <c r="A18" s="40" t="s">
        <v>932</v>
      </c>
      <c r="B18" s="40" t="s">
        <v>1937</v>
      </c>
      <c r="C18" s="247">
        <f>'Table  4'!E18/'Table 1'!D18</f>
        <v>25.99589280353683</v>
      </c>
      <c r="D18" s="247">
        <f>'Table  4'!H18/'Table 1'!D18</f>
        <v>1.3916709876374751</v>
      </c>
      <c r="E18" s="247">
        <f t="shared" si="0"/>
        <v>27.387563791174305</v>
      </c>
      <c r="F18" s="248">
        <f>'Table  4'!E18/'Table  4'!M18</f>
        <v>0.87639638462656655</v>
      </c>
      <c r="G18" s="248">
        <f>'Table  4'!H18/'Table  4'!M18</f>
        <v>4.6917235402248937E-2</v>
      </c>
      <c r="H18" s="248">
        <f>'Table  4'!K18/'Table  4'!M18</f>
        <v>0</v>
      </c>
      <c r="I18" s="120">
        <f>'Table  4'!L18/'Table  4'!M18</f>
        <v>7.6686379971184479E-2</v>
      </c>
      <c r="J18" s="16"/>
    </row>
    <row r="19" spans="1:10" ht="15" x14ac:dyDescent="0.25">
      <c r="A19" s="40" t="s">
        <v>947</v>
      </c>
      <c r="B19" s="40" t="s">
        <v>1938</v>
      </c>
      <c r="C19" s="247">
        <f>'Table  4'!E19/'Table 1'!D19</f>
        <v>9.4517217638627109</v>
      </c>
      <c r="D19" s="247">
        <f>'Table  4'!H19/'Table 1'!D19</f>
        <v>1.5604790013656731</v>
      </c>
      <c r="E19" s="247">
        <f t="shared" si="0"/>
        <v>11.012200765228384</v>
      </c>
      <c r="F19" s="248">
        <f>'Table  4'!E19/'Table  4'!M19</f>
        <v>0.78883280002336076</v>
      </c>
      <c r="G19" s="248">
        <f>'Table  4'!H19/'Table  4'!M19</f>
        <v>0.13023627343023655</v>
      </c>
      <c r="H19" s="248">
        <f>'Table  4'!K19/'Table  4'!M19</f>
        <v>5.004667443474952E-3</v>
      </c>
      <c r="I19" s="120">
        <f>'Table  4'!L19/'Table  4'!M19</f>
        <v>7.5926259102927732E-2</v>
      </c>
      <c r="J19" s="16"/>
    </row>
    <row r="20" spans="1:10" ht="15" x14ac:dyDescent="0.25">
      <c r="A20" s="40" t="s">
        <v>961</v>
      </c>
      <c r="B20" s="40" t="s">
        <v>1939</v>
      </c>
      <c r="C20" s="247">
        <f>'Table  4'!E20/'Table 1'!D20</f>
        <v>21.857734951558182</v>
      </c>
      <c r="D20" s="247">
        <f>'Table  4'!H20/'Table 1'!D20</f>
        <v>3.7596971074813754</v>
      </c>
      <c r="E20" s="247">
        <f t="shared" si="0"/>
        <v>25.617432059039558</v>
      </c>
      <c r="F20" s="248">
        <f>'Table  4'!E20/'Table  4'!M20</f>
        <v>0.85323676866531595</v>
      </c>
      <c r="G20" s="248">
        <f>'Table  4'!H20/'Table  4'!M20</f>
        <v>0.14676323133468408</v>
      </c>
      <c r="H20" s="248">
        <f>'Table  4'!K20/'Table  4'!M20</f>
        <v>0</v>
      </c>
      <c r="I20" s="120">
        <f>'Table  4'!L20/'Table  4'!M20</f>
        <v>0</v>
      </c>
      <c r="J20" s="16"/>
    </row>
    <row r="21" spans="1:10" ht="15" x14ac:dyDescent="0.25">
      <c r="A21" s="40" t="s">
        <v>991</v>
      </c>
      <c r="B21" s="40" t="s">
        <v>1940</v>
      </c>
      <c r="C21" s="247">
        <f>'Table  4'!E21/'Table 1'!D21</f>
        <v>32.258255918307945</v>
      </c>
      <c r="D21" s="247">
        <f>'Table  4'!H21/'Table 1'!D21</f>
        <v>1.0770805035412827</v>
      </c>
      <c r="E21" s="247">
        <f t="shared" si="0"/>
        <v>33.335336421849227</v>
      </c>
      <c r="F21" s="248">
        <f>'Table  4'!E21/'Table  4'!M21</f>
        <v>0.96150934113562703</v>
      </c>
      <c r="G21" s="248">
        <f>'Table  4'!H21/'Table  4'!M21</f>
        <v>3.2104121435847607E-2</v>
      </c>
      <c r="H21" s="248">
        <f>'Table  4'!K21/'Table  4'!M21</f>
        <v>2.7211692162208471E-3</v>
      </c>
      <c r="I21" s="120">
        <f>'Table  4'!L21/'Table  4'!M21</f>
        <v>3.6653682123045177E-3</v>
      </c>
      <c r="J21" s="16"/>
    </row>
    <row r="22" spans="1:10" ht="15" x14ac:dyDescent="0.25">
      <c r="A22" s="40" t="s">
        <v>1007</v>
      </c>
      <c r="B22" s="40" t="s">
        <v>1941</v>
      </c>
      <c r="C22" s="247">
        <f>'Table  4'!E22/'Table 1'!D22</f>
        <v>21.56828287370104</v>
      </c>
      <c r="D22" s="247">
        <f>'Table  4'!H22/'Table 1'!D22</f>
        <v>1.1664793165467626</v>
      </c>
      <c r="E22" s="247">
        <f t="shared" si="0"/>
        <v>22.734762190247803</v>
      </c>
      <c r="F22" s="248">
        <f>'Table  4'!E22/'Table  4'!M22</f>
        <v>0.92415240642641339</v>
      </c>
      <c r="G22" s="248">
        <f>'Table  4'!H22/'Table  4'!M22</f>
        <v>4.9981014888662155E-2</v>
      </c>
      <c r="H22" s="248">
        <f>'Table  4'!K22/'Table  4'!M22</f>
        <v>1.65982587214444E-3</v>
      </c>
      <c r="I22" s="120">
        <f>'Table  4'!L22/'Table  4'!M22</f>
        <v>2.4206752812780043E-2</v>
      </c>
      <c r="J22" s="16"/>
    </row>
    <row r="23" spans="1:10" ht="15" x14ac:dyDescent="0.25">
      <c r="A23" s="40" t="s">
        <v>1024</v>
      </c>
      <c r="B23" s="40" t="s">
        <v>1942</v>
      </c>
      <c r="C23" s="247">
        <f>'Table  4'!E23/'Table 1'!D23</f>
        <v>11.343725569164436</v>
      </c>
      <c r="D23" s="247">
        <f>'Table  4'!H23/'Table 1'!D23</f>
        <v>2.1451991187131316</v>
      </c>
      <c r="E23" s="247">
        <f t="shared" si="0"/>
        <v>13.488924687877567</v>
      </c>
      <c r="F23" s="248">
        <f>'Table  4'!E23/'Table  4'!M23</f>
        <v>0.72841254653074949</v>
      </c>
      <c r="G23" s="248">
        <f>'Table  4'!H23/'Table  4'!M23</f>
        <v>0.13774927323038635</v>
      </c>
      <c r="H23" s="248">
        <f>'Table  4'!K23/'Table  4'!M23</f>
        <v>3.7676406114752779E-2</v>
      </c>
      <c r="I23" s="120">
        <f>'Table  4'!L23/'Table  4'!M23</f>
        <v>9.6161774124111407E-2</v>
      </c>
      <c r="J23" s="16"/>
    </row>
    <row r="24" spans="1:10" ht="15" x14ac:dyDescent="0.25">
      <c r="A24" s="40" t="s">
        <v>1037</v>
      </c>
      <c r="B24" s="40" t="s">
        <v>1943</v>
      </c>
      <c r="C24" s="247">
        <f>'Table  4'!E24/'Table 1'!D24</f>
        <v>8.7460610433411077</v>
      </c>
      <c r="D24" s="247">
        <f>'Table  4'!H24/'Table 1'!D24</f>
        <v>2.0523180697014949</v>
      </c>
      <c r="E24" s="247">
        <f t="shared" si="0"/>
        <v>10.798379113042603</v>
      </c>
      <c r="F24" s="248">
        <f>'Table  4'!E24/'Table  4'!M24</f>
        <v>0.80847469983046882</v>
      </c>
      <c r="G24" s="248">
        <f>'Table  4'!H24/'Table  4'!M24</f>
        <v>0.1897136581983779</v>
      </c>
      <c r="H24" s="248">
        <f>'Table  4'!K24/'Table  4'!M24</f>
        <v>1.8116419711533241E-3</v>
      </c>
      <c r="I24" s="120">
        <f>'Table  4'!L24/'Table  4'!M24</f>
        <v>0</v>
      </c>
      <c r="J24" s="16"/>
    </row>
    <row r="25" spans="1:10" ht="15" x14ac:dyDescent="0.25">
      <c r="A25" s="40" t="s">
        <v>1053</v>
      </c>
      <c r="B25" s="40" t="s">
        <v>1944</v>
      </c>
      <c r="C25" s="247">
        <f>'Table  4'!E25/'Table 1'!D25</f>
        <v>37.932832819412788</v>
      </c>
      <c r="D25" s="247">
        <f>'Table  4'!H25/'Table 1'!D25</f>
        <v>0.78792733610403543</v>
      </c>
      <c r="E25" s="247">
        <f t="shared" si="0"/>
        <v>38.720760155516821</v>
      </c>
      <c r="F25" s="248">
        <f>'Table  4'!E25/'Table  4'!M25</f>
        <v>0.97511003723250178</v>
      </c>
      <c r="G25" s="248">
        <f>'Table  4'!H25/'Table  4'!M25</f>
        <v>2.0254639501949161E-2</v>
      </c>
      <c r="H25" s="248">
        <f>'Table  4'!K25/'Table  4'!M25</f>
        <v>4.6353232655490543E-3</v>
      </c>
      <c r="I25" s="120">
        <f>'Table  4'!L25/'Table  4'!M25</f>
        <v>0</v>
      </c>
      <c r="J25" s="16"/>
    </row>
    <row r="26" spans="1:10" ht="15" x14ac:dyDescent="0.25">
      <c r="A26" s="40" t="s">
        <v>1086</v>
      </c>
      <c r="B26" s="40" t="s">
        <v>1945</v>
      </c>
      <c r="C26" s="247">
        <f>'Table  4'!E26/'Table 1'!D26</f>
        <v>9.8571642181600687</v>
      </c>
      <c r="D26" s="247">
        <f>'Table  4'!H26/'Table 1'!D26</f>
        <v>2.1902732608126798</v>
      </c>
      <c r="E26" s="247">
        <f t="shared" si="0"/>
        <v>12.047437478972748</v>
      </c>
      <c r="F26" s="248">
        <f>'Table  4'!E26/'Table  4'!M26</f>
        <v>0.73966162645389399</v>
      </c>
      <c r="G26" s="248">
        <f>'Table  4'!H26/'Table  4'!M26</f>
        <v>0.1643536666951847</v>
      </c>
      <c r="H26" s="248">
        <f>'Table  4'!K26/'Table  4'!M26</f>
        <v>6.7265171479903895E-3</v>
      </c>
      <c r="I26" s="120">
        <f>'Table  4'!L26/'Table  4'!M26</f>
        <v>8.9258189702930854E-2</v>
      </c>
      <c r="J26" s="16"/>
    </row>
    <row r="27" spans="1:10" ht="15" x14ac:dyDescent="0.25">
      <c r="A27" s="40" t="s">
        <v>1132</v>
      </c>
      <c r="B27" s="40" t="s">
        <v>1946</v>
      </c>
      <c r="C27" s="247">
        <f>'Table  4'!E27/'Table 1'!D27</f>
        <v>19.127928303798566</v>
      </c>
      <c r="D27" s="247">
        <f>'Table  4'!H27/'Table 1'!D27</f>
        <v>0.79183610439079632</v>
      </c>
      <c r="E27" s="247">
        <f t="shared" si="0"/>
        <v>19.919764408189362</v>
      </c>
      <c r="F27" s="248">
        <f>'Table  4'!E27/'Table  4'!M27</f>
        <v>0.92306218984728816</v>
      </c>
      <c r="G27" s="248">
        <f>'Table  4'!H27/'Table  4'!M27</f>
        <v>3.8211873074302773E-2</v>
      </c>
      <c r="H27" s="248">
        <f>'Table  4'!K27/'Table  4'!M27</f>
        <v>1.320250238826658E-2</v>
      </c>
      <c r="I27" s="120">
        <f>'Table  4'!L27/'Table  4'!M27</f>
        <v>2.552343469014243E-2</v>
      </c>
      <c r="J27" s="16"/>
    </row>
    <row r="28" spans="1:10" ht="15" x14ac:dyDescent="0.25">
      <c r="A28" s="40" t="s">
        <v>1146</v>
      </c>
      <c r="B28" s="40" t="s">
        <v>1947</v>
      </c>
      <c r="C28" s="247">
        <f>'Table  4'!E28/'Table 1'!D28</f>
        <v>12.074719229887691</v>
      </c>
      <c r="D28" s="247">
        <f>'Table  4'!H28/'Table 1'!D28</f>
        <v>1.750263580105432</v>
      </c>
      <c r="E28" s="247">
        <f t="shared" si="0"/>
        <v>13.824982809993124</v>
      </c>
      <c r="F28" s="248">
        <f>'Table  4'!E28/'Table  4'!M28</f>
        <v>0.87069914420861605</v>
      </c>
      <c r="G28" s="248">
        <f>'Table  4'!H28/'Table  4'!M28</f>
        <v>0.12621022255864767</v>
      </c>
      <c r="H28" s="248">
        <f>'Table  4'!K28/'Table  4'!M28</f>
        <v>1.3277051855426678E-3</v>
      </c>
      <c r="I28" s="120">
        <f>'Table  4'!L28/'Table  4'!M28</f>
        <v>1.7629280471935839E-3</v>
      </c>
      <c r="J28" s="16"/>
    </row>
    <row r="29" spans="1:10" ht="15" x14ac:dyDescent="0.25">
      <c r="A29" s="40" t="s">
        <v>1161</v>
      </c>
      <c r="B29" s="40" t="s">
        <v>1176</v>
      </c>
      <c r="C29" s="247">
        <f>'Table  4'!E29/'Table 1'!D29</f>
        <v>17.882940866458657</v>
      </c>
      <c r="D29" s="247">
        <f>'Table  4'!H29/'Table 1'!D29</f>
        <v>1.0534109405679692</v>
      </c>
      <c r="E29" s="247">
        <f t="shared" si="0"/>
        <v>18.936351807026625</v>
      </c>
      <c r="F29" s="248">
        <f>'Table  4'!E29/'Table  4'!M29</f>
        <v>0.94334541976187658</v>
      </c>
      <c r="G29" s="248">
        <f>'Table  4'!H29/'Table  4'!M29</f>
        <v>5.5568622260317953E-2</v>
      </c>
      <c r="H29" s="248">
        <f>'Table  4'!K29/'Table  4'!M29</f>
        <v>1.0859579778055187E-3</v>
      </c>
      <c r="I29" s="120">
        <f>'Table  4'!L29/'Table  4'!M29</f>
        <v>0</v>
      </c>
      <c r="J29" s="16"/>
    </row>
    <row r="30" spans="1:10" ht="15" x14ac:dyDescent="0.25">
      <c r="A30" s="40" t="s">
        <v>1187</v>
      </c>
      <c r="B30" s="40" t="s">
        <v>1948</v>
      </c>
      <c r="C30" s="247">
        <f>'Table  4'!E30/'Table 1'!D30</f>
        <v>28.568438409637743</v>
      </c>
      <c r="D30" s="247">
        <f>'Table  4'!H30/'Table 1'!D30</f>
        <v>1.8197129540827486</v>
      </c>
      <c r="E30" s="247">
        <f t="shared" si="0"/>
        <v>30.388151363720493</v>
      </c>
      <c r="F30" s="248">
        <f>'Table  4'!E30/'Table  4'!M30</f>
        <v>0.92781604421845842</v>
      </c>
      <c r="G30" s="248">
        <f>'Table  4'!H30/'Table  4'!M30</f>
        <v>5.9098745631842538E-2</v>
      </c>
      <c r="H30" s="248">
        <f>'Table  4'!K30/'Table  4'!M30</f>
        <v>1.0095600831691717E-2</v>
      </c>
      <c r="I30" s="120">
        <f>'Table  4'!L30/'Table  4'!M30</f>
        <v>2.9896093180073278E-3</v>
      </c>
      <c r="J30" s="16"/>
    </row>
    <row r="31" spans="1:10" ht="15" x14ac:dyDescent="0.25">
      <c r="A31" s="40" t="s">
        <v>1201</v>
      </c>
      <c r="B31" s="40" t="s">
        <v>1949</v>
      </c>
      <c r="C31" s="247">
        <f>'Table  4'!E31/'Table 1'!D31</f>
        <v>20.44169975675182</v>
      </c>
      <c r="D31" s="247">
        <f>'Table  4'!H31/'Table 1'!D31</f>
        <v>0.9117624436346855</v>
      </c>
      <c r="E31" s="247">
        <f t="shared" si="0"/>
        <v>21.353462200386506</v>
      </c>
      <c r="F31" s="248">
        <f>'Table  4'!E31/'Table  4'!M31</f>
        <v>0.93642019535760601</v>
      </c>
      <c r="G31" s="248">
        <f>'Table  4'!H31/'Table  4'!M31</f>
        <v>4.1767209955528073E-2</v>
      </c>
      <c r="H31" s="248">
        <f>'Table  4'!K31/'Table  4'!M31</f>
        <v>0</v>
      </c>
      <c r="I31" s="120">
        <f>'Table  4'!L31/'Table  4'!M31</f>
        <v>2.1812594686865944E-2</v>
      </c>
      <c r="J31" s="16"/>
    </row>
    <row r="32" spans="1:10" ht="15" x14ac:dyDescent="0.25">
      <c r="A32" s="40" t="s">
        <v>1218</v>
      </c>
      <c r="B32" s="40" t="s">
        <v>1950</v>
      </c>
      <c r="C32" s="247">
        <f>'Table  4'!E32/'Table 1'!D32</f>
        <v>13.577511535659355</v>
      </c>
      <c r="D32" s="247">
        <f>'Table  4'!H32/'Table 1'!D32</f>
        <v>2.6439731239375051</v>
      </c>
      <c r="E32" s="247">
        <f t="shared" si="0"/>
        <v>16.221484659596861</v>
      </c>
      <c r="F32" s="248">
        <f>'Table  4'!E32/'Table  4'!M32</f>
        <v>0.81202785465871585</v>
      </c>
      <c r="G32" s="248">
        <f>'Table  4'!H32/'Table  4'!M32</f>
        <v>0.1581276375989478</v>
      </c>
      <c r="H32" s="248">
        <f>'Table  4'!K32/'Table  4'!M32</f>
        <v>5.6726028613157536E-3</v>
      </c>
      <c r="I32" s="120">
        <f>'Table  4'!L32/'Table  4'!M32</f>
        <v>2.4171904881020584E-2</v>
      </c>
      <c r="J32" s="16"/>
    </row>
    <row r="33" spans="1:10" ht="15" x14ac:dyDescent="0.25">
      <c r="A33" s="40" t="s">
        <v>1232</v>
      </c>
      <c r="B33" s="40" t="s">
        <v>1951</v>
      </c>
      <c r="C33" s="247">
        <f>'Table  4'!E33/'Table 1'!D33</f>
        <v>11.253084646265423</v>
      </c>
      <c r="D33" s="247">
        <f>'Table  4'!H33/'Table 1'!D33</f>
        <v>1.2914515114572576</v>
      </c>
      <c r="E33" s="247">
        <f t="shared" si="0"/>
        <v>12.54453615772268</v>
      </c>
      <c r="F33" s="248">
        <f>'Table  4'!E33/'Table  4'!M33</f>
        <v>0.8825928585305487</v>
      </c>
      <c r="G33" s="248">
        <f>'Table  4'!H33/'Table  4'!M33</f>
        <v>0.10129008329542195</v>
      </c>
      <c r="H33" s="248">
        <f>'Table  4'!K33/'Table  4'!M33</f>
        <v>0</v>
      </c>
      <c r="I33" s="120">
        <f>'Table  4'!L33/'Table  4'!M33</f>
        <v>1.6117058174029392E-2</v>
      </c>
      <c r="J33" s="16"/>
    </row>
    <row r="34" spans="1:10" ht="15" x14ac:dyDescent="0.25">
      <c r="A34" s="40" t="s">
        <v>1256</v>
      </c>
      <c r="B34" s="40" t="s">
        <v>1952</v>
      </c>
      <c r="C34" s="247">
        <f>'Table  4'!E34/'Table 1'!D34</f>
        <v>19.736802059218729</v>
      </c>
      <c r="D34" s="247">
        <f>'Table  4'!H34/'Table 1'!D34</f>
        <v>1.7128425960402129</v>
      </c>
      <c r="E34" s="247">
        <f t="shared" si="0"/>
        <v>21.449644655258943</v>
      </c>
      <c r="F34" s="248">
        <f>'Table  4'!E34/'Table  4'!M34</f>
        <v>0.88791798155502644</v>
      </c>
      <c r="G34" s="248">
        <f>'Table  4'!H34/'Table  4'!M34</f>
        <v>7.7057252539406595E-2</v>
      </c>
      <c r="H34" s="248">
        <f>'Table  4'!K34/'Table  4'!M34</f>
        <v>3.5024765905566919E-2</v>
      </c>
      <c r="I34" s="120">
        <f>'Table  4'!L34/'Table  4'!M34</f>
        <v>0</v>
      </c>
      <c r="J34" s="16"/>
    </row>
    <row r="35" spans="1:10" ht="15" x14ac:dyDescent="0.25">
      <c r="A35" s="40" t="s">
        <v>1268</v>
      </c>
      <c r="B35" s="40" t="s">
        <v>1953</v>
      </c>
      <c r="C35" s="247">
        <f>'Table  4'!E35/'Table 1'!D35</f>
        <v>24.444385190365871</v>
      </c>
      <c r="D35" s="247">
        <f>'Table  4'!H35/'Table 1'!D35</f>
        <v>1.2221969663854526</v>
      </c>
      <c r="E35" s="247">
        <f t="shared" si="0"/>
        <v>25.666582156751325</v>
      </c>
      <c r="F35" s="248">
        <f>'Table  4'!E35/'Table  4'!M35</f>
        <v>0.90876326505539706</v>
      </c>
      <c r="G35" s="248">
        <f>'Table  4'!H35/'Table  4'!M35</f>
        <v>4.5437334466116766E-2</v>
      </c>
      <c r="H35" s="248">
        <f>'Table  4'!K35/'Table  4'!M35</f>
        <v>3.7571661606734558E-4</v>
      </c>
      <c r="I35" s="120">
        <f>'Table  4'!L35/'Table  4'!M35</f>
        <v>4.5423683862418816E-2</v>
      </c>
      <c r="J35" s="16"/>
    </row>
    <row r="36" spans="1:10" ht="15" x14ac:dyDescent="0.25">
      <c r="A36" s="40" t="s">
        <v>1328</v>
      </c>
      <c r="B36" s="40" t="s">
        <v>1954</v>
      </c>
      <c r="C36" s="247">
        <f>'Table  4'!E36/'Table 1'!D36</f>
        <v>15.811886274130268</v>
      </c>
      <c r="D36" s="247">
        <f>'Table  4'!H36/'Table 1'!D36</f>
        <v>1.1045018351287568</v>
      </c>
      <c r="E36" s="247">
        <f t="shared" si="0"/>
        <v>16.916388109259024</v>
      </c>
      <c r="F36" s="248">
        <f>'Table  4'!E36/'Table  4'!M36</f>
        <v>0.93470817600098577</v>
      </c>
      <c r="G36" s="248">
        <f>'Table  4'!H36/'Table  4'!M36</f>
        <v>6.5291823999014204E-2</v>
      </c>
      <c r="H36" s="248">
        <f>'Table  4'!K36/'Table  4'!M36</f>
        <v>0</v>
      </c>
      <c r="I36" s="120">
        <f>'Table  4'!L36/'Table  4'!M36</f>
        <v>0</v>
      </c>
      <c r="J36" s="16"/>
    </row>
    <row r="37" spans="1:10" ht="15" x14ac:dyDescent="0.25">
      <c r="A37" s="40" t="s">
        <v>1585</v>
      </c>
      <c r="B37" s="40" t="s">
        <v>1316</v>
      </c>
      <c r="C37" s="247">
        <f>'Table  4'!E37/'Table 1'!D37</f>
        <v>6.7155552157522367</v>
      </c>
      <c r="D37" s="247">
        <f>'Table  4'!H37/'Table 1'!D37</f>
        <v>1.1237406856316128</v>
      </c>
      <c r="E37" s="247">
        <f t="shared" si="0"/>
        <v>7.8392959013838492</v>
      </c>
      <c r="F37" s="248">
        <f>'Table  4'!E37/'Table  4'!M37</f>
        <v>0.7812042904231723</v>
      </c>
      <c r="G37" s="248">
        <f>'Table  4'!H37/'Table  4'!M37</f>
        <v>0.13072203514600383</v>
      </c>
      <c r="H37" s="248">
        <f>'Table  4'!K37/'Table  4'!M37</f>
        <v>0</v>
      </c>
      <c r="I37" s="120">
        <f>'Table  4'!L37/'Table  4'!M37</f>
        <v>8.807367443082384E-2</v>
      </c>
      <c r="J37" s="16"/>
    </row>
    <row r="38" spans="1:10" ht="15" x14ac:dyDescent="0.25">
      <c r="A38" s="40" t="s">
        <v>1352</v>
      </c>
      <c r="B38" s="40" t="s">
        <v>1955</v>
      </c>
      <c r="C38" s="247">
        <f>'Table  4'!E38/'Table 1'!D38</f>
        <v>7.9806900276821278</v>
      </c>
      <c r="D38" s="247">
        <f>'Table  4'!H38/'Table 1'!D38</f>
        <v>1.8725102964013234</v>
      </c>
      <c r="E38" s="247">
        <f t="shared" si="0"/>
        <v>9.8532003240834509</v>
      </c>
      <c r="F38" s="248">
        <f>'Table  4'!E38/'Table  4'!M38</f>
        <v>0.78169592741328831</v>
      </c>
      <c r="G38" s="248">
        <f>'Table  4'!H38/'Table  4'!M38</f>
        <v>0.18340941292785473</v>
      </c>
      <c r="H38" s="248">
        <f>'Table  4'!K38/'Table  4'!M38</f>
        <v>0</v>
      </c>
      <c r="I38" s="120">
        <f>'Table  4'!L38/'Table  4'!M38</f>
        <v>3.4894659658857005E-2</v>
      </c>
      <c r="J38" s="16"/>
    </row>
    <row r="39" spans="1:10" ht="15" x14ac:dyDescent="0.25">
      <c r="A39" s="40" t="s">
        <v>1365</v>
      </c>
      <c r="B39" s="40" t="s">
        <v>1956</v>
      </c>
      <c r="C39" s="247">
        <f>'Table  4'!E39/'Table 1'!D39</f>
        <v>14.74387136883937</v>
      </c>
      <c r="D39" s="247">
        <f>'Table  4'!H39/'Table 1'!D39</f>
        <v>1.4446259432179733</v>
      </c>
      <c r="E39" s="247">
        <f t="shared" si="0"/>
        <v>16.188497312057343</v>
      </c>
      <c r="F39" s="248">
        <f>'Table  4'!E39/'Table  4'!M39</f>
        <v>0.8684903649790181</v>
      </c>
      <c r="G39" s="248">
        <f>'Table  4'!H39/'Table  4'!M39</f>
        <v>8.5095948092383605E-2</v>
      </c>
      <c r="H39" s="248">
        <f>'Table  4'!K39/'Table  4'!M39</f>
        <v>4.2714924588619502E-2</v>
      </c>
      <c r="I39" s="120">
        <f>'Table  4'!L39/'Table  4'!M39</f>
        <v>3.6987623399788025E-3</v>
      </c>
      <c r="J39" s="16"/>
    </row>
    <row r="40" spans="1:10" ht="15" x14ac:dyDescent="0.25">
      <c r="A40" s="40" t="s">
        <v>1383</v>
      </c>
      <c r="B40" s="40" t="s">
        <v>1957</v>
      </c>
      <c r="C40" s="247">
        <f>'Table  4'!E40/'Table 1'!D40</f>
        <v>17.601073752218028</v>
      </c>
      <c r="D40" s="247">
        <f>'Table  4'!H40/'Table 1'!D40</f>
        <v>3.7089039537740569</v>
      </c>
      <c r="E40" s="247">
        <f t="shared" si="0"/>
        <v>21.309977705992086</v>
      </c>
      <c r="F40" s="248">
        <f>'Table  4'!E40/'Table  4'!M40</f>
        <v>0.75634681520381175</v>
      </c>
      <c r="G40" s="248">
        <f>'Table  4'!H40/'Table  4'!M40</f>
        <v>0.15937764552462769</v>
      </c>
      <c r="H40" s="248">
        <f>'Table  4'!K40/'Table  4'!M40</f>
        <v>5.804953106395791E-2</v>
      </c>
      <c r="I40" s="120">
        <f>'Table  4'!L40/'Table  4'!M40</f>
        <v>2.6226008207602687E-2</v>
      </c>
      <c r="J40" s="16"/>
    </row>
    <row r="41" spans="1:10" ht="15" x14ac:dyDescent="0.25">
      <c r="A41" s="40" t="s">
        <v>1397</v>
      </c>
      <c r="B41" s="40" t="s">
        <v>1958</v>
      </c>
      <c r="C41" s="247">
        <f>'Table  4'!E41/'Table 1'!D41</f>
        <v>15.976576576576576</v>
      </c>
      <c r="D41" s="247">
        <f>'Table  4'!H41/'Table 1'!D41</f>
        <v>2.3188969457262139</v>
      </c>
      <c r="E41" s="247">
        <f t="shared" si="0"/>
        <v>18.295473522302789</v>
      </c>
      <c r="F41" s="248">
        <f>'Table  4'!E41/'Table  4'!M41</f>
        <v>0.87154886695314981</v>
      </c>
      <c r="G41" s="248">
        <f>'Table  4'!H41/'Table  4'!M41</f>
        <v>0.12649969134137642</v>
      </c>
      <c r="H41" s="248">
        <f>'Table  4'!K41/'Table  4'!M41</f>
        <v>0</v>
      </c>
      <c r="I41" s="120">
        <f>'Table  4'!L41/'Table  4'!M41</f>
        <v>1.951441705473746E-3</v>
      </c>
      <c r="J41" s="16"/>
    </row>
    <row r="42" spans="1:10" ht="15" x14ac:dyDescent="0.25">
      <c r="A42" s="40" t="s">
        <v>915</v>
      </c>
      <c r="B42" s="40" t="s">
        <v>1959</v>
      </c>
      <c r="C42" s="247">
        <f>'Table  4'!E42/'Table 1'!D42</f>
        <v>34.591211576154791</v>
      </c>
      <c r="D42" s="247">
        <f>'Table  4'!H42/'Table 1'!D42</f>
        <v>0.58126990304163562</v>
      </c>
      <c r="E42" s="247">
        <f t="shared" si="0"/>
        <v>35.172481479196428</v>
      </c>
      <c r="F42" s="248">
        <f>'Table  4'!E42/'Table  4'!M42</f>
        <v>0.91600260156677138</v>
      </c>
      <c r="G42" s="248">
        <f>'Table  4'!H42/'Table  4'!M42</f>
        <v>1.5392486100881191E-2</v>
      </c>
      <c r="H42" s="248">
        <f>'Table  4'!K42/'Table  4'!M42</f>
        <v>2.0530721229995354E-3</v>
      </c>
      <c r="I42" s="120">
        <f>'Table  4'!L42/'Table  4'!M42</f>
        <v>6.6551840209347901E-2</v>
      </c>
      <c r="J42" s="16"/>
    </row>
    <row r="43" spans="1:10" ht="15" x14ac:dyDescent="0.25">
      <c r="A43" s="40" t="s">
        <v>789</v>
      </c>
      <c r="B43" s="40" t="s">
        <v>1960</v>
      </c>
      <c r="C43" s="247">
        <f>'Table  4'!E43/'Table 1'!D43</f>
        <v>18.75708039017827</v>
      </c>
      <c r="D43" s="247">
        <f>'Table  4'!H43/'Table 1'!D43</f>
        <v>1.4642672945397466</v>
      </c>
      <c r="E43" s="247">
        <f t="shared" si="0"/>
        <v>20.221347684718015</v>
      </c>
      <c r="F43" s="248">
        <f>'Table  4'!E43/'Table  4'!M43</f>
        <v>0.78363538421903178</v>
      </c>
      <c r="G43" s="248">
        <f>'Table  4'!H43/'Table  4'!M43</f>
        <v>6.1174321380893272E-2</v>
      </c>
      <c r="H43" s="248">
        <f>'Table  4'!K43/'Table  4'!M43</f>
        <v>8.4642949153336305E-4</v>
      </c>
      <c r="I43" s="120">
        <f>'Table  4'!L43/'Table  4'!M43</f>
        <v>0.15434386490854157</v>
      </c>
      <c r="J43" s="16"/>
    </row>
    <row r="44" spans="1:10" ht="15" x14ac:dyDescent="0.25">
      <c r="A44" s="40" t="s">
        <v>1456</v>
      </c>
      <c r="B44" s="40" t="s">
        <v>1961</v>
      </c>
      <c r="C44" s="247">
        <f>'Table  4'!E44/'Table 1'!D44</f>
        <v>16.196003720797108</v>
      </c>
      <c r="D44" s="247">
        <f>'Table  4'!H44/'Table 1'!D44</f>
        <v>1.5192345533254623</v>
      </c>
      <c r="E44" s="247">
        <f t="shared" si="0"/>
        <v>17.715238274122569</v>
      </c>
      <c r="F44" s="248">
        <f>'Table  4'!E44/'Table  4'!M44</f>
        <v>0.86967409398242379</v>
      </c>
      <c r="G44" s="248">
        <f>'Table  4'!H44/'Table  4'!M44</f>
        <v>8.1578082870747026E-2</v>
      </c>
      <c r="H44" s="248">
        <f>'Table  4'!K44/'Table  4'!M44</f>
        <v>4.3517852357245019E-3</v>
      </c>
      <c r="I44" s="120">
        <f>'Table  4'!L44/'Table  4'!M44</f>
        <v>4.4396037911104663E-2</v>
      </c>
      <c r="J44" s="16"/>
    </row>
    <row r="45" spans="1:10" ht="15" x14ac:dyDescent="0.25">
      <c r="A45" s="40" t="s">
        <v>1489</v>
      </c>
      <c r="B45" s="40" t="s">
        <v>1962</v>
      </c>
      <c r="C45" s="247">
        <f>'Table  4'!E45/'Table 1'!D45</f>
        <v>9.4940437513536935</v>
      </c>
      <c r="D45" s="247">
        <f>'Table  4'!H45/'Table 1'!D45</f>
        <v>1.1359674907433193</v>
      </c>
      <c r="E45" s="247">
        <f t="shared" si="0"/>
        <v>10.630011242097012</v>
      </c>
      <c r="F45" s="248">
        <f>'Table  4'!E45/'Table  4'!M45</f>
        <v>0.81402957079937721</v>
      </c>
      <c r="G45" s="248">
        <f>'Table  4'!H45/'Table  4'!M45</f>
        <v>9.7399080218055795E-2</v>
      </c>
      <c r="H45" s="248">
        <f>'Table  4'!K45/'Table  4'!M45</f>
        <v>6.1619465313184378E-3</v>
      </c>
      <c r="I45" s="120">
        <f>'Table  4'!L45/'Table  4'!M45</f>
        <v>8.2409402451248503E-2</v>
      </c>
      <c r="J45" s="16"/>
    </row>
    <row r="46" spans="1:10" ht="15" x14ac:dyDescent="0.25">
      <c r="A46" s="40" t="s">
        <v>1501</v>
      </c>
      <c r="B46" s="40" t="s">
        <v>1516</v>
      </c>
      <c r="C46" s="247">
        <f>'Table  4'!E46/'Table 1'!D46</f>
        <v>24.289777925642518</v>
      </c>
      <c r="D46" s="247">
        <f>'Table  4'!H46/'Table 1'!D46</f>
        <v>1.9108850892931406</v>
      </c>
      <c r="E46" s="247">
        <f t="shared" si="0"/>
        <v>26.20066301493566</v>
      </c>
      <c r="F46" s="248">
        <f>'Table  4'!E46/'Table  4'!M46</f>
        <v>0.87372472857608119</v>
      </c>
      <c r="G46" s="248">
        <f>'Table  4'!H46/'Table  4'!M46</f>
        <v>6.8736221512349024E-2</v>
      </c>
      <c r="H46" s="248">
        <f>'Table  4'!K46/'Table  4'!M46</f>
        <v>3.1580998915244615E-2</v>
      </c>
      <c r="I46" s="120">
        <f>'Table  4'!L46/'Table  4'!M46</f>
        <v>2.5958050996325168E-2</v>
      </c>
      <c r="J46" s="16"/>
    </row>
    <row r="47" spans="1:10" ht="15" x14ac:dyDescent="0.25">
      <c r="A47" s="40" t="s">
        <v>1518</v>
      </c>
      <c r="B47" s="40" t="s">
        <v>1963</v>
      </c>
      <c r="C47" s="247">
        <f>'Table  4'!E47/'Table 1'!D47</f>
        <v>11.880169528582721</v>
      </c>
      <c r="D47" s="247">
        <f>'Table  4'!H47/'Table 1'!D47</f>
        <v>1.7911502043424881</v>
      </c>
      <c r="E47" s="247">
        <f t="shared" si="0"/>
        <v>13.671319732925209</v>
      </c>
      <c r="F47" s="248">
        <f>'Table  4'!E47/'Table  4'!M47</f>
        <v>0.86898483545602501</v>
      </c>
      <c r="G47" s="248">
        <f>'Table  4'!H47/'Table  4'!M47</f>
        <v>0.13101516454397497</v>
      </c>
      <c r="H47" s="248">
        <f>'Table  4'!K47/'Table  4'!M47</f>
        <v>0</v>
      </c>
      <c r="I47" s="120">
        <f>'Table  4'!L47/'Table  4'!M47</f>
        <v>0</v>
      </c>
      <c r="J47" s="16"/>
    </row>
    <row r="48" spans="1:10" ht="15" x14ac:dyDescent="0.25">
      <c r="A48" s="40" t="s">
        <v>1544</v>
      </c>
      <c r="B48" s="40" t="s">
        <v>1964</v>
      </c>
      <c r="C48" s="247">
        <f>'Table  4'!E48/'Table 1'!D48</f>
        <v>11.010345348368908</v>
      </c>
      <c r="D48" s="247">
        <f>'Table  4'!H48/'Table 1'!D48</f>
        <v>2.4134363672976238</v>
      </c>
      <c r="E48" s="247">
        <f t="shared" si="0"/>
        <v>13.423781715666532</v>
      </c>
      <c r="F48" s="248">
        <f>'Table  4'!E48/'Table  4'!M48</f>
        <v>0.82021188824301516</v>
      </c>
      <c r="G48" s="248">
        <f>'Table  4'!H48/'Table  4'!M48</f>
        <v>0.17978811175698481</v>
      </c>
      <c r="H48" s="248">
        <f>'Table  4'!K48/'Table  4'!M48</f>
        <v>0</v>
      </c>
      <c r="I48" s="120">
        <f>'Table  4'!L48/'Table  4'!M48</f>
        <v>0</v>
      </c>
      <c r="J48" s="16"/>
    </row>
    <row r="49" spans="1:10" ht="15" x14ac:dyDescent="0.25">
      <c r="A49" s="40" t="s">
        <v>1727</v>
      </c>
      <c r="B49" s="40" t="s">
        <v>1965</v>
      </c>
      <c r="C49" s="247">
        <f>'Table  4'!E49/'Table 1'!D49</f>
        <v>11.544327307770931</v>
      </c>
      <c r="D49" s="247">
        <f>'Table  4'!H49/'Table 1'!D49</f>
        <v>1.1108080483602487</v>
      </c>
      <c r="E49" s="247">
        <f t="shared" si="0"/>
        <v>12.655135356131179</v>
      </c>
      <c r="F49" s="248">
        <f>'Table  4'!E49/'Table  4'!M49</f>
        <v>0.84646037349293879</v>
      </c>
      <c r="G49" s="248">
        <f>'Table  4'!H49/'Table  4'!M49</f>
        <v>8.144736115209214E-2</v>
      </c>
      <c r="H49" s="248">
        <f>'Table  4'!K49/'Table  4'!M49</f>
        <v>0</v>
      </c>
      <c r="I49" s="120">
        <f>'Table  4'!L49/'Table  4'!M49</f>
        <v>7.2092265354969029E-2</v>
      </c>
      <c r="J49" s="16"/>
    </row>
    <row r="50" spans="1:10" ht="15" x14ac:dyDescent="0.25">
      <c r="A50" s="40" t="s">
        <v>1573</v>
      </c>
      <c r="B50" s="40" t="s">
        <v>1966</v>
      </c>
      <c r="C50" s="247">
        <f>'Table  4'!E50/'Table 1'!D50</f>
        <v>22.577127912505944</v>
      </c>
      <c r="D50" s="247">
        <f>'Table  4'!H50/'Table 1'!D50</f>
        <v>3.6600095102234902</v>
      </c>
      <c r="E50" s="247">
        <f t="shared" si="0"/>
        <v>26.237137422729433</v>
      </c>
      <c r="F50" s="248">
        <f>'Table  4'!E50/'Table  4'!M50</f>
        <v>0.80815685286618344</v>
      </c>
      <c r="G50" s="248">
        <f>'Table  4'!H50/'Table  4'!M50</f>
        <v>0.13101142796839521</v>
      </c>
      <c r="H50" s="248">
        <f>'Table  4'!K50/'Table  4'!M50</f>
        <v>2.8454177489251175E-2</v>
      </c>
      <c r="I50" s="120">
        <f>'Table  4'!L50/'Table  4'!M50</f>
        <v>3.2377541676170116E-2</v>
      </c>
      <c r="J50" s="16"/>
    </row>
    <row r="51" spans="1:10" ht="15" x14ac:dyDescent="0.25">
      <c r="A51" s="40" t="s">
        <v>1597</v>
      </c>
      <c r="B51" s="40" t="s">
        <v>1967</v>
      </c>
      <c r="C51" s="247">
        <f>'Table  4'!E51/'Table 1'!D51</f>
        <v>18.501826709626236</v>
      </c>
      <c r="D51" s="247">
        <f>'Table  4'!H51/'Table 1'!D51</f>
        <v>1.2693996562306455</v>
      </c>
      <c r="E51" s="247">
        <f t="shared" si="0"/>
        <v>19.771226365856883</v>
      </c>
      <c r="F51" s="248">
        <f>'Table  4'!E51/'Table  4'!M51</f>
        <v>0.89102251743517735</v>
      </c>
      <c r="G51" s="248">
        <f>'Table  4'!H51/'Table  4'!M51</f>
        <v>6.1132540860816847E-2</v>
      </c>
      <c r="H51" s="248">
        <f>'Table  4'!K51/'Table  4'!M51</f>
        <v>0</v>
      </c>
      <c r="I51" s="120">
        <f>'Table  4'!L51/'Table  4'!M51</f>
        <v>4.7844941704005821E-2</v>
      </c>
      <c r="J51" s="16"/>
    </row>
    <row r="52" spans="1:10" ht="15" x14ac:dyDescent="0.25">
      <c r="A52" s="40" t="s">
        <v>1625</v>
      </c>
      <c r="B52" s="40" t="s">
        <v>1968</v>
      </c>
      <c r="C52" s="247">
        <f>'Table  4'!E52/'Table 1'!D52</f>
        <v>6.738656836804692</v>
      </c>
      <c r="D52" s="247">
        <f>'Table  4'!H52/'Table 1'!D52</f>
        <v>1.6092554482613055</v>
      </c>
      <c r="E52" s="247">
        <f t="shared" si="0"/>
        <v>8.3479122850659984</v>
      </c>
      <c r="F52" s="248">
        <f>'Table  4'!E52/'Table  4'!M52</f>
        <v>0.70991617727057943</v>
      </c>
      <c r="G52" s="248">
        <f>'Table  4'!H52/'Table  4'!M52</f>
        <v>0.16953474612950234</v>
      </c>
      <c r="H52" s="248">
        <f>'Table  4'!K52/'Table  4'!M52</f>
        <v>1.1305545959553846E-2</v>
      </c>
      <c r="I52" s="120">
        <f>'Table  4'!L52/'Table  4'!M52</f>
        <v>0.10924353064036435</v>
      </c>
      <c r="J52" s="16"/>
    </row>
    <row r="53" spans="1:10" ht="15" x14ac:dyDescent="0.25">
      <c r="A53" s="40" t="s">
        <v>1638</v>
      </c>
      <c r="B53" s="40" t="s">
        <v>1969</v>
      </c>
      <c r="C53" s="247">
        <f>'Table  4'!E53/'Table 1'!D53</f>
        <v>17.565474311956557</v>
      </c>
      <c r="D53" s="247">
        <f>'Table  4'!H53/'Table 1'!D53</f>
        <v>1.51462058308213</v>
      </c>
      <c r="E53" s="247">
        <f t="shared" si="0"/>
        <v>19.080094895038687</v>
      </c>
      <c r="F53" s="248">
        <f>'Table  4'!E53/'Table  4'!M53</f>
        <v>0.85155012279114428</v>
      </c>
      <c r="G53" s="248">
        <f>'Table  4'!H53/'Table  4'!M53</f>
        <v>7.3426730220865793E-2</v>
      </c>
      <c r="H53" s="248">
        <f>'Table  4'!K53/'Table  4'!M53</f>
        <v>7.3859334896689255E-4</v>
      </c>
      <c r="I53" s="120">
        <f>'Table  4'!L53/'Table  4'!M53</f>
        <v>7.4284553639023046E-2</v>
      </c>
      <c r="J53" s="16"/>
    </row>
    <row r="54" spans="1:10" ht="15" x14ac:dyDescent="0.25">
      <c r="A54" s="40" t="s">
        <v>1655</v>
      </c>
      <c r="B54" s="40" t="s">
        <v>1970</v>
      </c>
      <c r="C54" s="247">
        <f>'Table  4'!E54/'Table 1'!D54</f>
        <v>24.456629070014898</v>
      </c>
      <c r="D54" s="247">
        <f>'Table  4'!H54/'Table 1'!D54</f>
        <v>1.5234588919628289</v>
      </c>
      <c r="E54" s="247">
        <f t="shared" si="0"/>
        <v>25.980087961977727</v>
      </c>
      <c r="F54" s="248">
        <f>'Table  4'!E54/'Table  4'!M54</f>
        <v>0.90503304965060294</v>
      </c>
      <c r="G54" s="248">
        <f>'Table  4'!H54/'Table  4'!M54</f>
        <v>5.6376561261294374E-2</v>
      </c>
      <c r="H54" s="248">
        <f>'Table  4'!K54/'Table  4'!M54</f>
        <v>0</v>
      </c>
      <c r="I54" s="120">
        <f>'Table  4'!L54/'Table  4'!M54</f>
        <v>3.8590389088102653E-2</v>
      </c>
      <c r="J54" s="16"/>
    </row>
    <row r="55" spans="1:10" ht="15" x14ac:dyDescent="0.25">
      <c r="A55" s="40" t="s">
        <v>1671</v>
      </c>
      <c r="B55" s="40" t="s">
        <v>1971</v>
      </c>
      <c r="C55" s="247">
        <f>'Table  4'!E55/'Table 1'!D55</f>
        <v>6.8375256635599602</v>
      </c>
      <c r="D55" s="247">
        <f>'Table  4'!H55/'Table 1'!D55</f>
        <v>1.8189297372346869</v>
      </c>
      <c r="E55" s="247">
        <f t="shared" si="0"/>
        <v>8.6564554007946466</v>
      </c>
      <c r="F55" s="248">
        <f>'Table  4'!E55/'Table  4'!M55</f>
        <v>0.75405229748285985</v>
      </c>
      <c r="G55" s="248">
        <f>'Table  4'!H55/'Table  4'!M55</f>
        <v>0.20059422294111035</v>
      </c>
      <c r="H55" s="248">
        <f>'Table  4'!K55/'Table  4'!M55</f>
        <v>1.8650911940004333E-3</v>
      </c>
      <c r="I55" s="120">
        <f>'Table  4'!L55/'Table  4'!M55</f>
        <v>4.3488388382029314E-2</v>
      </c>
      <c r="J55" s="16"/>
    </row>
    <row r="56" spans="1:10" ht="15" x14ac:dyDescent="0.25">
      <c r="A56" s="40" t="s">
        <v>1683</v>
      </c>
      <c r="B56" s="40" t="s">
        <v>1972</v>
      </c>
      <c r="C56" s="247">
        <f>'Table  4'!E56/'Table 1'!D56</f>
        <v>10.864927006724516</v>
      </c>
      <c r="D56" s="247">
        <f>'Table  4'!H56/'Table 1'!D56</f>
        <v>1.8800138584859605</v>
      </c>
      <c r="E56" s="247">
        <f t="shared" si="0"/>
        <v>12.744940865210477</v>
      </c>
      <c r="F56" s="248">
        <f>'Table  4'!E56/'Table  4'!M56</f>
        <v>0.82060187525498396</v>
      </c>
      <c r="G56" s="248">
        <f>'Table  4'!H56/'Table  4'!M56</f>
        <v>0.14199293716599326</v>
      </c>
      <c r="H56" s="248">
        <f>'Table  4'!K56/'Table  4'!M56</f>
        <v>0</v>
      </c>
      <c r="I56" s="120">
        <f>'Table  4'!L56/'Table  4'!M56</f>
        <v>3.7405187579022739E-2</v>
      </c>
      <c r="J56" s="16"/>
    </row>
    <row r="57" spans="1:10" ht="15" x14ac:dyDescent="0.25">
      <c r="A57" s="40" t="s">
        <v>1714</v>
      </c>
      <c r="B57" s="40" t="s">
        <v>1973</v>
      </c>
      <c r="C57" s="247">
        <f>'Table  4'!E57/'Table 1'!D57</f>
        <v>10.240772304339322</v>
      </c>
      <c r="D57" s="247">
        <f>'Table  4'!H57/'Table 1'!D57</f>
        <v>2.8742630417167288</v>
      </c>
      <c r="E57" s="247">
        <f t="shared" si="0"/>
        <v>13.11503534605605</v>
      </c>
      <c r="F57" s="248">
        <f>'Table  4'!E57/'Table  4'!M57</f>
        <v>0.73616922128241646</v>
      </c>
      <c r="G57" s="248">
        <f>'Table  4'!H57/'Table  4'!M57</f>
        <v>0.20661957148337776</v>
      </c>
      <c r="H57" s="248">
        <f>'Table  4'!K57/'Table  4'!M57</f>
        <v>3.9527414498540747E-2</v>
      </c>
      <c r="I57" s="120">
        <f>'Table  4'!L57/'Table  4'!M57</f>
        <v>1.768379273566506E-2</v>
      </c>
      <c r="J57" s="16"/>
    </row>
    <row r="58" spans="1:10" ht="15" x14ac:dyDescent="0.25">
      <c r="A58" s="40" t="s">
        <v>1756</v>
      </c>
      <c r="B58" s="40" t="s">
        <v>1974</v>
      </c>
      <c r="C58" s="247">
        <f>'Table  4'!E58/'Table 1'!D58</f>
        <v>18.926381758999856</v>
      </c>
      <c r="D58" s="247">
        <f>'Table  4'!H58/'Table 1'!D58</f>
        <v>1.8527959061391719</v>
      </c>
      <c r="E58" s="247">
        <f t="shared" si="0"/>
        <v>20.779177665139027</v>
      </c>
      <c r="F58" s="248">
        <f>'Table  4'!E58/'Table  4'!M58</f>
        <v>0.89548946382024053</v>
      </c>
      <c r="G58" s="248">
        <f>'Table  4'!H58/'Table  4'!M58</f>
        <v>8.7663835258313019E-2</v>
      </c>
      <c r="H58" s="248">
        <f>'Table  4'!K58/'Table  4'!M58</f>
        <v>0</v>
      </c>
      <c r="I58" s="120">
        <f>'Table  4'!L58/'Table  4'!M58</f>
        <v>1.6846700921446425E-2</v>
      </c>
      <c r="J58" s="16"/>
    </row>
    <row r="59" spans="1:10" ht="15" x14ac:dyDescent="0.25">
      <c r="A59" s="40" t="s">
        <v>1768</v>
      </c>
      <c r="B59" s="40" t="s">
        <v>1975</v>
      </c>
      <c r="C59" s="247">
        <f>'Table  4'!E59/'Table 1'!D59</f>
        <v>39.216438677172732</v>
      </c>
      <c r="D59" s="247">
        <f>'Table  4'!H59/'Table 1'!D59</f>
        <v>2.5573098216116463</v>
      </c>
      <c r="E59" s="247">
        <f t="shared" si="0"/>
        <v>41.773748498784379</v>
      </c>
      <c r="F59" s="248">
        <f>'Table  4'!E59/'Table  4'!M59</f>
        <v>0.89665504890443881</v>
      </c>
      <c r="G59" s="248">
        <f>'Table  4'!H59/'Table  4'!M59</f>
        <v>5.8471009620150075E-2</v>
      </c>
      <c r="H59" s="248">
        <f>'Table  4'!K59/'Table  4'!M59</f>
        <v>4.2194980162291479E-2</v>
      </c>
      <c r="I59" s="120">
        <f>'Table  4'!L59/'Table  4'!M59</f>
        <v>2.6789613131196774E-3</v>
      </c>
      <c r="J59" s="16"/>
    </row>
    <row r="60" spans="1:10" ht="15" x14ac:dyDescent="0.25">
      <c r="A60" s="40" t="s">
        <v>1784</v>
      </c>
      <c r="B60" s="40" t="s">
        <v>1976</v>
      </c>
      <c r="C60" s="247">
        <f>'Table  4'!E60/'Table 1'!D60</f>
        <v>19.10895652368086</v>
      </c>
      <c r="D60" s="247">
        <f>'Table  4'!H60/'Table 1'!D60</f>
        <v>0.87731505258691911</v>
      </c>
      <c r="E60" s="247">
        <f t="shared" si="0"/>
        <v>19.986271576267779</v>
      </c>
      <c r="F60" s="248">
        <f>'Table  4'!E60/'Table  4'!M60</f>
        <v>0.91384339313521068</v>
      </c>
      <c r="G60" s="248">
        <f>'Table  4'!H60/'Table  4'!M60</f>
        <v>4.195564333986946E-2</v>
      </c>
      <c r="H60" s="248">
        <f>'Table  4'!K60/'Table  4'!M60</f>
        <v>5.9126266529949808E-3</v>
      </c>
      <c r="I60" s="120">
        <f>'Table  4'!L60/'Table  4'!M60</f>
        <v>3.8288336871924913E-2</v>
      </c>
      <c r="J60" s="16"/>
    </row>
    <row r="61" spans="1:10" ht="15" x14ac:dyDescent="0.25">
      <c r="A61" s="40" t="s">
        <v>1531</v>
      </c>
      <c r="B61" s="40" t="s">
        <v>1977</v>
      </c>
      <c r="C61" s="247">
        <f>'Table  4'!E61/'Table 1'!D61</f>
        <v>16.678162198242298</v>
      </c>
      <c r="D61" s="247">
        <f>'Table  4'!H61/'Table 1'!D61</f>
        <v>2.338191122483035</v>
      </c>
      <c r="E61" s="247">
        <f t="shared" si="0"/>
        <v>19.016353320725333</v>
      </c>
      <c r="F61" s="248">
        <f>'Table  4'!E61/'Table  4'!M61</f>
        <v>0.7922173313394032</v>
      </c>
      <c r="G61" s="248">
        <f>'Table  4'!H61/'Table  4'!M61</f>
        <v>0.11106472698833762</v>
      </c>
      <c r="H61" s="248">
        <f>'Table  4'!K61/'Table  4'!M61</f>
        <v>0</v>
      </c>
      <c r="I61" s="120">
        <f>'Table  4'!L61/'Table  4'!M61</f>
        <v>9.6717941672259181E-2</v>
      </c>
      <c r="J61" s="16"/>
    </row>
    <row r="62" spans="1:10" ht="15" x14ac:dyDescent="0.25">
      <c r="A62" s="40" t="s">
        <v>1799</v>
      </c>
      <c r="B62" s="40" t="s">
        <v>1978</v>
      </c>
      <c r="C62" s="247">
        <f>'Table  4'!E62/'Table 1'!D62</f>
        <v>24.101457222220059</v>
      </c>
      <c r="D62" s="247">
        <f>'Table  4'!H62/'Table 1'!D62</f>
        <v>0.56796020055554042</v>
      </c>
      <c r="E62" s="247">
        <f t="shared" si="0"/>
        <v>24.669417422775599</v>
      </c>
      <c r="F62" s="248">
        <f>'Table  4'!E62/'Table  4'!M62</f>
        <v>0.97697715390590534</v>
      </c>
      <c r="G62" s="248">
        <f>'Table  4'!H62/'Table  4'!M62</f>
        <v>2.302284609409468E-2</v>
      </c>
      <c r="H62" s="248">
        <f>'Table  4'!K62/'Table  4'!M62</f>
        <v>0</v>
      </c>
      <c r="I62" s="120">
        <f>'Table  4'!L62/'Table  4'!M62</f>
        <v>0</v>
      </c>
      <c r="J62" s="16"/>
    </row>
    <row r="63" spans="1:10" ht="15" x14ac:dyDescent="0.25">
      <c r="A63" s="40" t="s">
        <v>1814</v>
      </c>
      <c r="B63" s="40" t="s">
        <v>1979</v>
      </c>
      <c r="C63" s="247">
        <f>'Table  4'!E63/'Table 1'!D63</f>
        <v>19.792356244719446</v>
      </c>
      <c r="D63" s="247">
        <f>'Table  4'!H63/'Table 1'!D63</f>
        <v>4.0811092888027432</v>
      </c>
      <c r="E63" s="247">
        <f t="shared" si="0"/>
        <v>23.873465533522189</v>
      </c>
      <c r="F63" s="248">
        <f>'Table  4'!E63/'Table  4'!M63</f>
        <v>0.77906565019298524</v>
      </c>
      <c r="G63" s="248">
        <f>'Table  4'!H63/'Table  4'!M63</f>
        <v>0.16064040189444401</v>
      </c>
      <c r="H63" s="248">
        <f>'Table  4'!K63/'Table  4'!M63</f>
        <v>3.7159194724352917E-2</v>
      </c>
      <c r="I63" s="120">
        <f>'Table  4'!L63/'Table  4'!M63</f>
        <v>2.3134753188217824E-2</v>
      </c>
      <c r="J63" s="16"/>
    </row>
    <row r="64" spans="1:10" ht="15" x14ac:dyDescent="0.25">
      <c r="A64" s="40" t="s">
        <v>1826</v>
      </c>
      <c r="B64" s="40" t="s">
        <v>1980</v>
      </c>
      <c r="C64" s="247">
        <f>'Table  4'!E64/'Table 1'!D64</f>
        <v>13.435132363310045</v>
      </c>
      <c r="D64" s="247">
        <f>'Table  4'!H64/'Table 1'!D64</f>
        <v>2.232308826357285</v>
      </c>
      <c r="E64" s="247">
        <f t="shared" si="0"/>
        <v>15.667441189667329</v>
      </c>
      <c r="F64" s="248">
        <f>'Table  4'!E64/'Table  4'!M64</f>
        <v>0.83857413411388981</v>
      </c>
      <c r="G64" s="248">
        <f>'Table  4'!H64/'Table  4'!M64</f>
        <v>0.13933293625371887</v>
      </c>
      <c r="H64" s="248">
        <f>'Table  4'!K64/'Table  4'!M64</f>
        <v>2.2092929632391293E-2</v>
      </c>
      <c r="I64" s="120">
        <f>'Table  4'!L64/'Table  4'!M64</f>
        <v>0</v>
      </c>
      <c r="J64" s="16"/>
    </row>
    <row r="65" spans="1:10" ht="15" x14ac:dyDescent="0.25">
      <c r="A65" s="40" t="s">
        <v>1842</v>
      </c>
      <c r="B65" s="40" t="s">
        <v>1981</v>
      </c>
      <c r="C65" s="247">
        <f>'Table  4'!E65/'Table 1'!D65</f>
        <v>22.121615010151913</v>
      </c>
      <c r="D65" s="247">
        <f>'Table  4'!H65/'Table 1'!D65</f>
        <v>1.5866337239169255</v>
      </c>
      <c r="E65" s="247">
        <f t="shared" si="0"/>
        <v>23.708248734068839</v>
      </c>
      <c r="F65" s="248">
        <f>'Table  4'!E65/'Table  4'!M65</f>
        <v>0.90625659228853195</v>
      </c>
      <c r="G65" s="248">
        <f>'Table  4'!H65/'Table  4'!M65</f>
        <v>6.499965175178872E-2</v>
      </c>
      <c r="H65" s="248">
        <f>'Table  4'!K65/'Table  4'!M65</f>
        <v>0</v>
      </c>
      <c r="I65" s="120">
        <f>'Table  4'!L65/'Table  4'!M65</f>
        <v>2.874375595967937E-2</v>
      </c>
      <c r="J65" s="16"/>
    </row>
    <row r="66" spans="1:10" s="268" customFormat="1" thickBot="1" x14ac:dyDescent="0.3">
      <c r="A66" s="648" t="s">
        <v>1882</v>
      </c>
      <c r="B66" s="649"/>
      <c r="C66" s="162">
        <f>AVERAGE(C8:C65)</f>
        <v>17.106441445946889</v>
      </c>
      <c r="D66" s="162">
        <f>AVERAGE(D8:D65)</f>
        <v>1.7678891479972894</v>
      </c>
      <c r="E66" s="162">
        <f>AVERAGEIF(E8:E65,"&gt;-1",E8:E65)</f>
        <v>18.874330593944176</v>
      </c>
      <c r="F66" s="324">
        <f>AVERAGE(F8:F65)</f>
        <v>0.85146488555231348</v>
      </c>
      <c r="G66" s="324">
        <f>AVERAGE(G8:G65)</f>
        <v>0.1028769468186468</v>
      </c>
      <c r="H66" s="324">
        <f>AVERAGE(H8:H65)</f>
        <v>1.1903917390955088E-2</v>
      </c>
      <c r="I66" s="324">
        <f>AVERAGE(I8:I65)</f>
        <v>3.3754250238084656E-2</v>
      </c>
      <c r="J66" s="267"/>
    </row>
    <row r="67" spans="1:10" ht="16.5" thickTop="1" thickBot="1" x14ac:dyDescent="0.3">
      <c r="A67" s="650" t="s">
        <v>1866</v>
      </c>
      <c r="B67" s="651"/>
      <c r="C67" s="165"/>
      <c r="D67" s="165"/>
      <c r="E67" s="165"/>
      <c r="F67" s="269"/>
      <c r="G67" s="269"/>
      <c r="H67" s="269"/>
      <c r="I67" s="270"/>
      <c r="J67" s="16"/>
    </row>
    <row r="68" spans="1:10" thickTop="1" x14ac:dyDescent="0.25">
      <c r="A68" s="239" t="s">
        <v>692</v>
      </c>
      <c r="B68" s="239" t="s">
        <v>1982</v>
      </c>
      <c r="C68" s="247">
        <f>'Table  4'!E68/'Table 1'!D68</f>
        <v>9.4393056789091485</v>
      </c>
      <c r="D68" s="247">
        <f>'Table  4'!H68/'Table 1'!D68</f>
        <v>5.1118802570398625</v>
      </c>
      <c r="E68" s="247">
        <f>SUM(C68:D68)</f>
        <v>14.551185935949011</v>
      </c>
      <c r="F68" s="248">
        <f>'Table  4'!E68/'Table  4'!M68</f>
        <v>0.57597915763433727</v>
      </c>
      <c r="G68" s="248">
        <f>'Table  4'!H68/'Table  4'!M68</f>
        <v>0.31192299354772896</v>
      </c>
      <c r="H68" s="248">
        <f>'Table  4'!K68/'Table  4'!M68</f>
        <v>0</v>
      </c>
      <c r="I68" s="120">
        <f>'Table  4'!L68/'Table  4'!M68</f>
        <v>0.11209784881793375</v>
      </c>
      <c r="J68" s="16"/>
    </row>
    <row r="69" spans="1:10" ht="15" x14ac:dyDescent="0.25">
      <c r="A69" s="239" t="s">
        <v>739</v>
      </c>
      <c r="B69" s="239" t="s">
        <v>1983</v>
      </c>
      <c r="C69" s="247">
        <f>'Table  4'!E69/'Table 1'!D69</f>
        <v>7.6704073311847161</v>
      </c>
      <c r="D69" s="247">
        <f>'Table  4'!H69/'Table 1'!D69</f>
        <v>5.7289830311031729</v>
      </c>
      <c r="E69" s="247">
        <f>SUM(C69:D69)</f>
        <v>13.399390362287889</v>
      </c>
      <c r="F69" s="248">
        <f>'Table  4'!E69/'Table  4'!M69</f>
        <v>0.46829120270824492</v>
      </c>
      <c r="G69" s="248">
        <f>'Table  4'!H69/'Table  4'!M69</f>
        <v>0.34976400054051104</v>
      </c>
      <c r="H69" s="248">
        <f>'Table  4'!K69/'Table  4'!M69</f>
        <v>0</v>
      </c>
      <c r="I69" s="120">
        <f>'Table  4'!L69/'Table  4'!M69</f>
        <v>0.181944796751244</v>
      </c>
      <c r="J69" s="16"/>
    </row>
    <row r="70" spans="1:10" ht="15" x14ac:dyDescent="0.25">
      <c r="A70" s="239" t="s">
        <v>723</v>
      </c>
      <c r="B70" s="239" t="s">
        <v>1984</v>
      </c>
      <c r="C70" s="247">
        <f>'Table  4'!E70/'Table 1'!D70</f>
        <v>10.259662779021154</v>
      </c>
      <c r="D70" s="247">
        <f>'Table  4'!H70/'Table 1'!D70</f>
        <v>2.5192336722170081</v>
      </c>
      <c r="E70" s="247">
        <f t="shared" ref="E70:E79" si="1">SUM(C70:D70)</f>
        <v>12.778896451238161</v>
      </c>
      <c r="F70" s="248">
        <f>'Table  4'!E70/'Table  4'!M70</f>
        <v>0.53920294051804696</v>
      </c>
      <c r="G70" s="248">
        <f>'Table  4'!H70/'Table  4'!M70</f>
        <v>0.13239988810247108</v>
      </c>
      <c r="H70" s="248">
        <f>'Table  4'!K70/'Table  4'!M70</f>
        <v>5.2658066470029638E-3</v>
      </c>
      <c r="I70" s="120">
        <f>'Table  4'!L70/'Table  4'!M70</f>
        <v>0.323131364732479</v>
      </c>
      <c r="J70" s="16"/>
    </row>
    <row r="71" spans="1:10" ht="15" x14ac:dyDescent="0.25">
      <c r="A71" s="239" t="s">
        <v>760</v>
      </c>
      <c r="B71" s="239" t="s">
        <v>1985</v>
      </c>
      <c r="C71" s="247">
        <f>'Table  4'!E71/'Table 1'!D71</f>
        <v>6.9695285094238661</v>
      </c>
      <c r="D71" s="247">
        <f>'Table  4'!H71/'Table 1'!D71</f>
        <v>4.5013229086152569</v>
      </c>
      <c r="E71" s="247">
        <f t="shared" si="1"/>
        <v>11.470851418039123</v>
      </c>
      <c r="F71" s="248">
        <f>'Table  4'!E71/'Table  4'!M71</f>
        <v>0.52704452567543869</v>
      </c>
      <c r="G71" s="248">
        <f>'Table  4'!H71/'Table  4'!M71</f>
        <v>0.34039570884533588</v>
      </c>
      <c r="H71" s="248">
        <f>'Table  4'!K71/'Table  4'!M71</f>
        <v>4.581158306019037E-2</v>
      </c>
      <c r="I71" s="120">
        <f>'Table  4'!L71/'Table  4'!M71</f>
        <v>8.6748182419035036E-2</v>
      </c>
      <c r="J71" s="16"/>
    </row>
    <row r="72" spans="1:10" ht="15" x14ac:dyDescent="0.25">
      <c r="A72" s="239" t="s">
        <v>975</v>
      </c>
      <c r="B72" s="239" t="s">
        <v>1986</v>
      </c>
      <c r="C72" s="247">
        <f>'Table  4'!E72/'Table 1'!D72</f>
        <v>15.454470083549964</v>
      </c>
      <c r="D72" s="247">
        <f>'Table  4'!H72/'Table 1'!D72</f>
        <v>2.2310996287856906</v>
      </c>
      <c r="E72" s="247">
        <f t="shared" si="1"/>
        <v>17.685569712335656</v>
      </c>
      <c r="F72" s="248">
        <f>'Table  4'!E72/'Table  4'!M72</f>
        <v>0.73077953273512408</v>
      </c>
      <c r="G72" s="248">
        <f>'Table  4'!H72/'Table  4'!M72</f>
        <v>0.10549969914173826</v>
      </c>
      <c r="H72" s="248">
        <f>'Table  4'!K72/'Table  4'!M72</f>
        <v>2.6114598290356172E-2</v>
      </c>
      <c r="I72" s="120">
        <f>'Table  4'!L72/'Table  4'!M72</f>
        <v>0.13760616983278148</v>
      </c>
      <c r="J72" s="16"/>
    </row>
    <row r="73" spans="1:10" ht="15" x14ac:dyDescent="0.25">
      <c r="A73" s="239" t="s">
        <v>1071</v>
      </c>
      <c r="B73" s="239" t="s">
        <v>1987</v>
      </c>
      <c r="C73" s="247">
        <f>'Table  4'!E73/'Table 1'!D73</f>
        <v>20.626416295916293</v>
      </c>
      <c r="D73" s="247">
        <f>'Table  4'!H73/'Table 1'!D73</f>
        <v>3.4504727620092166</v>
      </c>
      <c r="E73" s="247">
        <f t="shared" si="1"/>
        <v>24.076889057925509</v>
      </c>
      <c r="F73" s="248">
        <f>'Table  4'!E73/'Table  4'!M73</f>
        <v>0.83080014321671147</v>
      </c>
      <c r="G73" s="248">
        <f>'Table  4'!H73/'Table  4'!M73</f>
        <v>0.13897970562196846</v>
      </c>
      <c r="H73" s="248">
        <f>'Table  4'!K73/'Table  4'!M73</f>
        <v>0</v>
      </c>
      <c r="I73" s="120">
        <f>'Table  4'!L73/'Table  4'!M73</f>
        <v>3.0220151161320086E-2</v>
      </c>
      <c r="J73" s="16"/>
    </row>
    <row r="74" spans="1:10" ht="15" x14ac:dyDescent="0.25">
      <c r="A74" s="239" t="s">
        <v>1111</v>
      </c>
      <c r="B74" s="239" t="s">
        <v>1988</v>
      </c>
      <c r="C74" s="247">
        <f>'Table  4'!E74/'Table 1'!D74</f>
        <v>25.409292495701976</v>
      </c>
      <c r="D74" s="247">
        <f>'Table  4'!H74/'Table 1'!D74</f>
        <v>4.1658873643521206</v>
      </c>
      <c r="E74" s="247">
        <f t="shared" si="1"/>
        <v>29.575179860054096</v>
      </c>
      <c r="F74" s="248">
        <f>'Table  4'!E74/'Table  4'!M74</f>
        <v>0.70187173701308525</v>
      </c>
      <c r="G74" s="248">
        <f>'Table  4'!H74/'Table  4'!M74</f>
        <v>0.11507280657709269</v>
      </c>
      <c r="H74" s="248">
        <f>'Table  4'!K74/'Table  4'!M74</f>
        <v>1.6687134379102363E-2</v>
      </c>
      <c r="I74" s="120">
        <f>'Table  4'!L74/'Table  4'!M74</f>
        <v>0.16636832203071972</v>
      </c>
      <c r="J74" s="16"/>
    </row>
    <row r="75" spans="1:10" ht="15" x14ac:dyDescent="0.25">
      <c r="A75" s="239" t="s">
        <v>1425</v>
      </c>
      <c r="B75" s="239" t="s">
        <v>1989</v>
      </c>
      <c r="C75" s="247">
        <f>'Table  4'!E75/'Table 1'!D75</f>
        <v>17.4204857834489</v>
      </c>
      <c r="D75" s="247">
        <f>'Table  4'!H75/'Table 1'!D75</f>
        <v>6.0634718746153533</v>
      </c>
      <c r="E75" s="247">
        <f t="shared" si="1"/>
        <v>23.483957658064252</v>
      </c>
      <c r="F75" s="248">
        <f>'Table  4'!E75/'Table  4'!M75</f>
        <v>0.69164394930968287</v>
      </c>
      <c r="G75" s="248">
        <f>'Table  4'!H75/'Table  4'!M75</f>
        <v>0.24073746771583254</v>
      </c>
      <c r="H75" s="248">
        <f>'Table  4'!K75/'Table  4'!M75</f>
        <v>0</v>
      </c>
      <c r="I75" s="120">
        <f>'Table  4'!L75/'Table  4'!M75</f>
        <v>6.7618582974484615E-2</v>
      </c>
      <c r="J75" s="16"/>
    </row>
    <row r="76" spans="1:10" ht="15" x14ac:dyDescent="0.25">
      <c r="A76" s="239" t="s">
        <v>1442</v>
      </c>
      <c r="B76" s="239" t="s">
        <v>1990</v>
      </c>
      <c r="C76" s="247">
        <f>'Table  4'!E76/'Table 1'!D76</f>
        <v>13.036928448333743</v>
      </c>
      <c r="D76" s="247">
        <f>'Table  4'!H76/'Table 1'!D76</f>
        <v>3.7454846579082832</v>
      </c>
      <c r="E76" s="247">
        <f t="shared" si="1"/>
        <v>16.782413106242025</v>
      </c>
      <c r="F76" s="248">
        <f>'Table  4'!E76/'Table  4'!M76</f>
        <v>0.53445913243737342</v>
      </c>
      <c r="G76" s="248">
        <f>'Table  4'!H76/'Table  4'!M76</f>
        <v>0.15354908855689897</v>
      </c>
      <c r="H76" s="248">
        <f>'Table  4'!K76/'Table  4'!M76</f>
        <v>1.4221586073855907E-2</v>
      </c>
      <c r="I76" s="120">
        <f>'Table  4'!L76/'Table  4'!M76</f>
        <v>0.29777019293187174</v>
      </c>
      <c r="J76" s="16"/>
    </row>
    <row r="77" spans="1:10" ht="15" x14ac:dyDescent="0.25">
      <c r="A77" s="239" t="s">
        <v>1472</v>
      </c>
      <c r="B77" s="239" t="s">
        <v>1991</v>
      </c>
      <c r="C77" s="247">
        <f>'Table  4'!E77/'Table 1'!D77</f>
        <v>11.054052610653866</v>
      </c>
      <c r="D77" s="247">
        <f>'Table  4'!H77/'Table 1'!D77</f>
        <v>2.7130268631209167</v>
      </c>
      <c r="E77" s="247">
        <f t="shared" si="1"/>
        <v>13.767079473774782</v>
      </c>
      <c r="F77" s="248">
        <f>'Table  4'!E77/'Table  4'!M77</f>
        <v>0.77853027773308281</v>
      </c>
      <c r="G77" s="248">
        <f>'Table  4'!H77/'Table  4'!M77</f>
        <v>0.19107685042200132</v>
      </c>
      <c r="H77" s="248">
        <f>'Table  4'!K77/'Table  4'!M77</f>
        <v>0</v>
      </c>
      <c r="I77" s="120">
        <f>'Table  4'!L77/'Table  4'!M77</f>
        <v>3.039287184491582E-2</v>
      </c>
      <c r="J77" s="16"/>
    </row>
    <row r="78" spans="1:10" ht="15" x14ac:dyDescent="0.25">
      <c r="A78" s="239" t="s">
        <v>1558</v>
      </c>
      <c r="B78" s="239" t="s">
        <v>1992</v>
      </c>
      <c r="C78" s="247">
        <f>'Table  4'!E78/'Table 1'!D78</f>
        <v>14.620160783256983</v>
      </c>
      <c r="D78" s="247">
        <f>'Table  4'!H78/'Table 1'!D78</f>
        <v>7.967663702506063</v>
      </c>
      <c r="E78" s="247">
        <f t="shared" si="1"/>
        <v>22.587824485763047</v>
      </c>
      <c r="F78" s="248">
        <f>'Table  4'!E78/'Table  4'!M78</f>
        <v>0.57334115324292889</v>
      </c>
      <c r="G78" s="248">
        <f>'Table  4'!H78/'Table  4'!M78</f>
        <v>0.31245822556740577</v>
      </c>
      <c r="H78" s="248">
        <f>'Table  4'!K78/'Table  4'!M78</f>
        <v>2.9948140261702786E-2</v>
      </c>
      <c r="I78" s="120">
        <f>'Table  4'!L78/'Table  4'!M78</f>
        <v>8.42524809279626E-2</v>
      </c>
      <c r="J78" s="16"/>
    </row>
    <row r="79" spans="1:10" ht="15" x14ac:dyDescent="0.25">
      <c r="A79" s="239" t="s">
        <v>1696</v>
      </c>
      <c r="B79" s="239" t="s">
        <v>1993</v>
      </c>
      <c r="C79" s="247">
        <f>'Table  4'!E79/'Table 1'!D79</f>
        <v>8.4643059587405745</v>
      </c>
      <c r="D79" s="247">
        <f>'Table  4'!H79/'Table 1'!D79</f>
        <v>2.4411941529106618</v>
      </c>
      <c r="E79" s="247">
        <f t="shared" si="1"/>
        <v>10.905500111651236</v>
      </c>
      <c r="F79" s="248">
        <f>'Table  4'!E79/'Table  4'!M79</f>
        <v>0.6948486331223358</v>
      </c>
      <c r="G79" s="248">
        <f>'Table  4'!H79/'Table  4'!M79</f>
        <v>0.20040159566592541</v>
      </c>
      <c r="H79" s="248">
        <f>'Table  4'!K79/'Table  4'!M79</f>
        <v>5.4351841798381491E-2</v>
      </c>
      <c r="I79" s="120">
        <f>'Table  4'!L79/'Table  4'!M79</f>
        <v>5.0397929413357287E-2</v>
      </c>
      <c r="J79" s="16"/>
    </row>
    <row r="80" spans="1:10" s="268" customFormat="1" thickBot="1" x14ac:dyDescent="0.3">
      <c r="A80" s="648" t="s">
        <v>1882</v>
      </c>
      <c r="B80" s="649"/>
      <c r="C80" s="271">
        <f t="shared" ref="C80:I80" si="2">AVERAGE(C68:C79)</f>
        <v>13.368751396511763</v>
      </c>
      <c r="D80" s="160">
        <f t="shared" si="2"/>
        <v>4.2199767395986338</v>
      </c>
      <c r="E80" s="160">
        <f t="shared" si="2"/>
        <v>17.588728136110397</v>
      </c>
      <c r="F80" s="160">
        <f t="shared" si="2"/>
        <v>0.6372326987788659</v>
      </c>
      <c r="G80" s="265">
        <f t="shared" si="2"/>
        <v>0.21602150252540919</v>
      </c>
      <c r="H80" s="265">
        <f t="shared" si="2"/>
        <v>1.603339087588267E-2</v>
      </c>
      <c r="I80" s="266">
        <f t="shared" si="2"/>
        <v>0.13071240781984209</v>
      </c>
      <c r="J80" s="267"/>
    </row>
    <row r="81" spans="1:10" ht="16.5" thickTop="1" thickBot="1" x14ac:dyDescent="0.3">
      <c r="A81" s="58"/>
      <c r="B81" s="35" t="s">
        <v>1867</v>
      </c>
      <c r="C81" s="165"/>
      <c r="D81" s="165"/>
      <c r="E81" s="165"/>
      <c r="F81" s="269"/>
      <c r="G81" s="269"/>
      <c r="H81" s="269"/>
      <c r="I81" s="270"/>
      <c r="J81" s="16"/>
    </row>
    <row r="82" spans="1:10" thickTop="1" x14ac:dyDescent="0.25">
      <c r="A82" s="55" t="s">
        <v>897</v>
      </c>
      <c r="B82" s="55" t="s">
        <v>1994</v>
      </c>
      <c r="C82" s="247">
        <f>'Table  4'!E82/'Table 1'!D82</f>
        <v>45.005095903227961</v>
      </c>
      <c r="D82" s="247">
        <f>'Table  4'!H82/'Table 1'!D82</f>
        <v>0.468889928490276</v>
      </c>
      <c r="E82" s="247">
        <f>SUM(C82:D82)</f>
        <v>45.473985831718238</v>
      </c>
      <c r="F82" s="248">
        <f>'Table  4'!E82/'Table  4'!M82</f>
        <v>0.89245405856714743</v>
      </c>
      <c r="G82" s="248">
        <f>'Table  4'!H82/'Table  4'!M82</f>
        <v>9.2981186086616568E-3</v>
      </c>
      <c r="H82" s="248">
        <f>'Table  4'!K82/'Table  4'!M82</f>
        <v>3.3946548408098083E-2</v>
      </c>
      <c r="I82" s="120">
        <f>'Table  4'!L82/'Table  4'!M82</f>
        <v>6.4301274416092791E-2</v>
      </c>
      <c r="J82" s="16"/>
    </row>
    <row r="83" spans="1:10" ht="15" x14ac:dyDescent="0.25">
      <c r="A83" s="55" t="s">
        <v>1312</v>
      </c>
      <c r="B83" s="55" t="s">
        <v>1868</v>
      </c>
      <c r="C83" s="247">
        <f>'Table  4'!E83/'Table 1'!D83</f>
        <v>26.590724249755496</v>
      </c>
      <c r="D83" s="247">
        <f>'Table  4'!H83/'Table 1'!D83</f>
        <v>0.59896021001698663</v>
      </c>
      <c r="E83" s="247">
        <f>SUM(C83:D83)</f>
        <v>27.189684459772483</v>
      </c>
      <c r="F83" s="248">
        <f>'Table  4'!E83/'Table  4'!M83</f>
        <v>0.93051465091605379</v>
      </c>
      <c r="G83" s="248">
        <f>'Table  4'!H83/'Table  4'!M83</f>
        <v>2.0959987607020048E-2</v>
      </c>
      <c r="H83" s="248">
        <f>'Table  4'!K83/'Table  4'!M83</f>
        <v>0</v>
      </c>
      <c r="I83" s="120">
        <f>'Table  4'!L83/'Table  4'!M83</f>
        <v>4.8525361476926182E-2</v>
      </c>
      <c r="J83" s="16"/>
    </row>
    <row r="84" spans="1:10" ht="15" x14ac:dyDescent="0.25">
      <c r="A84" s="55" t="s">
        <v>1100</v>
      </c>
      <c r="B84" s="55" t="s">
        <v>1995</v>
      </c>
      <c r="C84" s="247">
        <f>'Table  4'!E84/'Table 1'!D84</f>
        <v>66.659743040685228</v>
      </c>
      <c r="D84" s="247">
        <f>'Table  4'!H84/'Table 1'!D84</f>
        <v>0.8179871520342612</v>
      </c>
      <c r="E84" s="247">
        <f>SUM(C84:D84)</f>
        <v>67.477730192719491</v>
      </c>
      <c r="F84" s="248">
        <f>'Table  4'!E84/'Table  4'!M84</f>
        <v>0.90053111783526085</v>
      </c>
      <c r="G84" s="248">
        <f>'Table  4'!H84/'Table  4'!M84</f>
        <v>1.105049090793379E-2</v>
      </c>
      <c r="H84" s="248">
        <f>'Table  4'!K84/'Table  4'!M84</f>
        <v>8.8418391256805312E-2</v>
      </c>
      <c r="I84" s="120">
        <f>'Table  4'!L84/'Table  4'!M84</f>
        <v>0</v>
      </c>
      <c r="J84" s="16"/>
    </row>
    <row r="85" spans="1:10" ht="15" x14ac:dyDescent="0.25">
      <c r="A85" s="55" t="s">
        <v>1281</v>
      </c>
      <c r="B85" s="55" t="s">
        <v>1996</v>
      </c>
      <c r="C85" s="247">
        <f>'Table  4'!E85/'Table 1'!D85</f>
        <v>43.489358020418756</v>
      </c>
      <c r="D85" s="247">
        <f>'Table  4'!H85/'Table 1'!D85</f>
        <v>0.6625960991768225</v>
      </c>
      <c r="E85" s="247">
        <f t="shared" ref="E85:E92" si="3">SUM(C85:D85)</f>
        <v>44.15195411959558</v>
      </c>
      <c r="F85" s="248">
        <f>'Table  4'!E85/'Table  4'!M85</f>
        <v>0.9390918762300634</v>
      </c>
      <c r="G85" s="248">
        <f>'Table  4'!H85/'Table  4'!M85</f>
        <v>1.430783626804827E-2</v>
      </c>
      <c r="H85" s="248">
        <f>'Table  4'!K85/'Table  4'!M85</f>
        <v>0</v>
      </c>
      <c r="I85" s="120">
        <f>'Table  4'!L85/'Table  4'!M85</f>
        <v>4.6600287501888299E-2</v>
      </c>
      <c r="J85" s="16"/>
    </row>
    <row r="86" spans="1:10" ht="15" x14ac:dyDescent="0.25">
      <c r="A86" s="55" t="s">
        <v>1297</v>
      </c>
      <c r="B86" s="55" t="s">
        <v>1997</v>
      </c>
      <c r="C86" s="247">
        <f>'Table  4'!E86/'Table 1'!D86</f>
        <v>42.707158666231265</v>
      </c>
      <c r="D86" s="247">
        <f>'Table  4'!H86/'Table 1'!D86</f>
        <v>0.75048982257537822</v>
      </c>
      <c r="E86" s="247">
        <f t="shared" si="3"/>
        <v>43.45764848880664</v>
      </c>
      <c r="F86" s="248">
        <f>'Table  4'!E86/'Table  4'!M86</f>
        <v>0.98177253410403664</v>
      </c>
      <c r="G86" s="248">
        <f>'Table  4'!H86/'Table  4'!M86</f>
        <v>1.725261801393772E-2</v>
      </c>
      <c r="H86" s="248">
        <f>'Table  4'!K86/'Table  4'!M86</f>
        <v>9.7484788202568181E-4</v>
      </c>
      <c r="I86" s="120">
        <f>'Table  4'!L86/'Table  4'!M86</f>
        <v>0</v>
      </c>
      <c r="J86" s="16"/>
    </row>
    <row r="87" spans="1:10" ht="15" x14ac:dyDescent="0.25">
      <c r="A87" s="55" t="s">
        <v>1341</v>
      </c>
      <c r="B87" s="55" t="s">
        <v>1998</v>
      </c>
      <c r="C87" s="247">
        <f>'Table  4'!E87/'Table 1'!D87</f>
        <v>64.975837298255428</v>
      </c>
      <c r="D87" s="247">
        <f>'Table  4'!H87/'Table 1'!D87</f>
        <v>0.85054575986565906</v>
      </c>
      <c r="E87" s="247">
        <f t="shared" si="3"/>
        <v>65.826383058121081</v>
      </c>
      <c r="F87" s="248">
        <f>'Table  4'!E87/'Table  4'!M87</f>
        <v>0.93946988601874959</v>
      </c>
      <c r="G87" s="248">
        <f>'Table  4'!H87/'Table  4'!M87</f>
        <v>1.229783503068726E-2</v>
      </c>
      <c r="H87" s="248">
        <f>'Table  4'!K87/'Table  4'!M87</f>
        <v>4.8232278950563159E-2</v>
      </c>
      <c r="I87" s="120">
        <f>'Table  4'!L87/'Table  4'!M87</f>
        <v>0</v>
      </c>
      <c r="J87" s="16"/>
    </row>
    <row r="88" spans="1:10" ht="15" x14ac:dyDescent="0.25">
      <c r="A88" s="55" t="s">
        <v>1409</v>
      </c>
      <c r="B88" s="55" t="s">
        <v>1999</v>
      </c>
      <c r="C88" s="247">
        <f>'Table  4'!E88/'Table 1'!D88</f>
        <v>56.256936623323433</v>
      </c>
      <c r="D88" s="247">
        <f>'Table  4'!H88/'Table 1'!D88</f>
        <v>0.64756322309818781</v>
      </c>
      <c r="E88" s="247">
        <f t="shared" si="3"/>
        <v>56.904499846421622</v>
      </c>
      <c r="F88" s="248">
        <f>'Table  4'!E88/'Table  4'!M88</f>
        <v>0.95657922798037964</v>
      </c>
      <c r="G88" s="248">
        <f>'Table  4'!H88/'Table  4'!M88</f>
        <v>1.1011007089976106E-2</v>
      </c>
      <c r="H88" s="248">
        <f>'Table  4'!K88/'Table  4'!M88</f>
        <v>0</v>
      </c>
      <c r="I88" s="120">
        <f>'Table  4'!L88/'Table  4'!M88</f>
        <v>3.2409764929644286E-2</v>
      </c>
      <c r="J88" s="16"/>
    </row>
    <row r="89" spans="1:10" ht="15" x14ac:dyDescent="0.25">
      <c r="A89" s="55" t="s">
        <v>1245</v>
      </c>
      <c r="B89" s="55" t="s">
        <v>2000</v>
      </c>
      <c r="C89" s="247">
        <f>'Table  4'!E89/'Table 1'!D89</f>
        <v>37.626457656279868</v>
      </c>
      <c r="D89" s="247">
        <f>'Table  4'!H89/'Table 1'!D89</f>
        <v>0.73695278149493404</v>
      </c>
      <c r="E89" s="247">
        <f t="shared" si="3"/>
        <v>38.363410437774803</v>
      </c>
      <c r="F89" s="248">
        <f>'Table  4'!E89/'Table  4'!M89</f>
        <v>0.98079021721256332</v>
      </c>
      <c r="G89" s="248">
        <f>'Table  4'!H89/'Table  4'!M89</f>
        <v>1.9209782787436652E-2</v>
      </c>
      <c r="H89" s="248">
        <f>'Table  4'!K89/'Table  4'!M89</f>
        <v>0</v>
      </c>
      <c r="I89" s="120">
        <f>'Table  4'!L89/'Table  4'!M89</f>
        <v>0</v>
      </c>
      <c r="J89" s="16"/>
    </row>
    <row r="90" spans="1:10" ht="15" x14ac:dyDescent="0.25">
      <c r="A90" s="55" t="s">
        <v>1613</v>
      </c>
      <c r="B90" s="55" t="s">
        <v>2001</v>
      </c>
      <c r="C90" s="247">
        <f>'Table  4'!E90/'Table 1'!D90</f>
        <v>18.13091848221972</v>
      </c>
      <c r="D90" s="247">
        <f>'Table  4'!H90/'Table 1'!D90</f>
        <v>0.8729223230249652</v>
      </c>
      <c r="E90" s="247">
        <f t="shared" si="3"/>
        <v>19.003840805244685</v>
      </c>
      <c r="F90" s="248">
        <f>'Table  4'!E90/'Table  4'!M90</f>
        <v>0.93127867781863205</v>
      </c>
      <c r="G90" s="248">
        <f>'Table  4'!H90/'Table  4'!M90</f>
        <v>4.4836887200296598E-2</v>
      </c>
      <c r="H90" s="248">
        <f>'Table  4'!K90/'Table  4'!M90</f>
        <v>0</v>
      </c>
      <c r="I90" s="120">
        <f>'Table  4'!L90/'Table  4'!M90</f>
        <v>2.3884434981071363E-2</v>
      </c>
      <c r="J90" s="16"/>
    </row>
    <row r="91" spans="1:10" ht="15" x14ac:dyDescent="0.25">
      <c r="A91" s="55" t="s">
        <v>1742</v>
      </c>
      <c r="B91" s="55" t="s">
        <v>2002</v>
      </c>
      <c r="C91" s="247">
        <f>'Table  4'!E91/'Table 1'!D91</f>
        <v>54.706964233788895</v>
      </c>
      <c r="D91" s="247">
        <f>'Table  4'!H91/'Table 1'!D91</f>
        <v>0.45725501599302121</v>
      </c>
      <c r="E91" s="247">
        <f t="shared" si="3"/>
        <v>55.164219249781915</v>
      </c>
      <c r="F91" s="248">
        <f>'Table  4'!E91/'Table  4'!M91</f>
        <v>0.93956933695069988</v>
      </c>
      <c r="G91" s="248">
        <f>'Table  4'!H91/'Table  4'!M91</f>
        <v>7.8531645506404266E-3</v>
      </c>
      <c r="H91" s="248">
        <f>'Table  4'!K91/'Table  4'!M91</f>
        <v>0</v>
      </c>
      <c r="I91" s="120">
        <f>'Table  4'!L91/'Table  4'!M91</f>
        <v>5.2577498498659718E-2</v>
      </c>
      <c r="J91" s="16"/>
    </row>
    <row r="92" spans="1:10" ht="15" x14ac:dyDescent="0.25">
      <c r="A92" s="55" t="s">
        <v>1178</v>
      </c>
      <c r="B92" s="55" t="s">
        <v>2003</v>
      </c>
      <c r="C92" s="247">
        <f>'Table  4'!E92/'Table 1'!D92</f>
        <v>44.71697521179793</v>
      </c>
      <c r="D92" s="247">
        <f>'Table  4'!H92/'Table 1'!D92</f>
        <v>0.99100512498692606</v>
      </c>
      <c r="E92" s="247">
        <f t="shared" si="3"/>
        <v>45.707980336784857</v>
      </c>
      <c r="F92" s="248">
        <f>'Table  4'!E92/'Table  4'!M92</f>
        <v>0.92513275255443184</v>
      </c>
      <c r="G92" s="248">
        <f>'Table  4'!H92/'Table  4'!M92</f>
        <v>2.0502533875162831E-2</v>
      </c>
      <c r="H92" s="248">
        <f>'Table  4'!K92/'Table  4'!M92</f>
        <v>9.8563632508038724E-3</v>
      </c>
      <c r="I92" s="120">
        <f>'Table  4'!L92/'Table  4'!M92</f>
        <v>4.4508350319601507E-2</v>
      </c>
      <c r="J92" s="16"/>
    </row>
    <row r="93" spans="1:10" s="268" customFormat="1" ht="15" x14ac:dyDescent="0.25">
      <c r="A93" s="652" t="s">
        <v>1882</v>
      </c>
      <c r="B93" s="653"/>
      <c r="C93" s="272">
        <f>AVERAGE(C82:C92)</f>
        <v>45.533288125998546</v>
      </c>
      <c r="D93" s="172">
        <f t="shared" ref="D93:I93" si="4">AVERAGE(D82:D92)</f>
        <v>0.71410613097794695</v>
      </c>
      <c r="E93" s="172">
        <f t="shared" si="4"/>
        <v>46.247394256976492</v>
      </c>
      <c r="F93" s="273">
        <f t="shared" si="4"/>
        <v>0.93792584874436546</v>
      </c>
      <c r="G93" s="273">
        <f t="shared" si="4"/>
        <v>1.7143660176345579E-2</v>
      </c>
      <c r="H93" s="273">
        <f t="shared" si="4"/>
        <v>1.6493493613481465E-2</v>
      </c>
      <c r="I93" s="274">
        <f t="shared" si="4"/>
        <v>2.8436997465807648E-2</v>
      </c>
      <c r="J93" s="267"/>
    </row>
    <row r="94" spans="1:10" thickBot="1" x14ac:dyDescent="0.3">
      <c r="A94" s="23"/>
      <c r="B94" s="65"/>
      <c r="C94" s="177"/>
      <c r="D94" s="177"/>
      <c r="E94" s="177"/>
      <c r="F94" s="275"/>
      <c r="G94" s="275"/>
      <c r="H94" s="275"/>
      <c r="I94" s="276"/>
      <c r="J94" s="16"/>
    </row>
    <row r="95" spans="1:10" s="268" customFormat="1" ht="13.5" thickTop="1" x14ac:dyDescent="0.2">
      <c r="A95" s="654" t="s">
        <v>1883</v>
      </c>
      <c r="B95" s="655"/>
      <c r="C95" s="277">
        <f t="shared" ref="C95:I95" si="5">AVERAGE(C82:C92,C68:C79,C59:C65,C8:C57)</f>
        <v>20.43173010312556</v>
      </c>
      <c r="D95" s="277">
        <f t="shared" si="5"/>
        <v>1.9897457874205577</v>
      </c>
      <c r="E95" s="277">
        <f t="shared" si="5"/>
        <v>22.421475890546112</v>
      </c>
      <c r="F95" s="278">
        <f t="shared" si="5"/>
        <v>0.83066813274685436</v>
      </c>
      <c r="G95" s="278">
        <f t="shared" si="5"/>
        <v>0.10825046715584888</v>
      </c>
      <c r="H95" s="278">
        <f t="shared" si="5"/>
        <v>1.3303204111678546E-2</v>
      </c>
      <c r="I95" s="279">
        <f t="shared" si="5"/>
        <v>4.7778195985618159E-2</v>
      </c>
      <c r="J95" s="280"/>
    </row>
    <row r="96" spans="1:10" ht="15" x14ac:dyDescent="0.25">
      <c r="A96" s="16"/>
      <c r="B96" s="281"/>
      <c r="C96" s="282"/>
      <c r="D96" s="282"/>
      <c r="E96" s="282"/>
      <c r="F96" s="283"/>
      <c r="G96" s="283"/>
      <c r="H96" s="283"/>
      <c r="I96" s="283"/>
      <c r="J96" s="16"/>
    </row>
    <row r="97" spans="1:10" ht="15" x14ac:dyDescent="0.25">
      <c r="A97" s="16"/>
      <c r="B97" s="16"/>
      <c r="C97" s="282"/>
      <c r="D97" s="282"/>
      <c r="E97" s="282"/>
      <c r="F97" s="283"/>
      <c r="G97" s="283"/>
      <c r="H97" s="283"/>
      <c r="I97" s="283"/>
      <c r="J97" s="16"/>
    </row>
    <row r="98" spans="1:10" ht="15" x14ac:dyDescent="0.25">
      <c r="A98" s="16"/>
      <c r="B98" s="16"/>
      <c r="C98" s="282"/>
      <c r="D98" s="282"/>
      <c r="E98" s="282"/>
      <c r="F98" s="283"/>
      <c r="G98" s="283"/>
      <c r="H98" s="283"/>
      <c r="I98" s="283"/>
      <c r="J98" s="16"/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5"/>
  <sheetViews>
    <sheetView topLeftCell="A19" workbookViewId="0">
      <selection activeCell="P19" sqref="P19"/>
    </sheetView>
  </sheetViews>
  <sheetFormatPr defaultColWidth="8.85546875" defaultRowHeight="12.75" x14ac:dyDescent="0.2"/>
  <cols>
    <col min="1" max="1" width="7" style="90" customWidth="1"/>
    <col min="2" max="2" width="20.140625" style="90" customWidth="1"/>
    <col min="3" max="3" width="15.28515625" style="290" customWidth="1"/>
    <col min="4" max="4" width="8.85546875" style="342"/>
    <col min="5" max="5" width="10.85546875" style="291" customWidth="1"/>
    <col min="6" max="6" width="14" style="290" customWidth="1"/>
    <col min="7" max="7" width="11.42578125" style="126" customWidth="1"/>
    <col min="8" max="8" width="10.42578125" style="291" customWidth="1"/>
    <col min="9" max="9" width="12.140625" style="292" customWidth="1"/>
    <col min="10" max="10" width="12.7109375" style="126" customWidth="1"/>
    <col min="11" max="11" width="12.28515625" style="292" customWidth="1"/>
    <col min="12" max="12" width="14.28515625" style="292" customWidth="1"/>
    <col min="13" max="13" width="11.85546875" style="291" customWidth="1"/>
    <col min="14" max="16384" width="8.85546875" style="90"/>
  </cols>
  <sheetData>
    <row r="1" spans="1:13" x14ac:dyDescent="0.2">
      <c r="A1" s="87"/>
      <c r="B1" s="88"/>
      <c r="C1" s="287"/>
      <c r="D1" s="288"/>
      <c r="E1" s="289"/>
      <c r="M1" s="15" t="s">
        <v>2271</v>
      </c>
    </row>
    <row r="2" spans="1:13" ht="15.75" x14ac:dyDescent="0.25">
      <c r="A2" s="91" t="s">
        <v>2005</v>
      </c>
      <c r="B2" s="92"/>
      <c r="C2" s="293"/>
      <c r="D2" s="294"/>
      <c r="E2" s="295"/>
      <c r="M2" s="22" t="s">
        <v>2004</v>
      </c>
    </row>
    <row r="3" spans="1:13" ht="13.5" thickBot="1" x14ac:dyDescent="0.25">
      <c r="A3" s="94"/>
      <c r="B3" s="92"/>
      <c r="C3" s="293"/>
      <c r="D3" s="294"/>
      <c r="E3" s="295"/>
    </row>
    <row r="4" spans="1:13" ht="13.5" thickTop="1" x14ac:dyDescent="0.2">
      <c r="A4" s="296"/>
      <c r="B4" s="674"/>
      <c r="C4" s="297"/>
      <c r="D4" s="298" t="s">
        <v>2006</v>
      </c>
      <c r="E4" s="299" t="s">
        <v>2007</v>
      </c>
      <c r="F4" s="297"/>
      <c r="G4" s="300" t="s">
        <v>2008</v>
      </c>
      <c r="H4" s="299" t="s">
        <v>2009</v>
      </c>
      <c r="I4" s="301"/>
      <c r="J4" s="302" t="s">
        <v>2006</v>
      </c>
      <c r="K4" s="301" t="s">
        <v>803</v>
      </c>
      <c r="L4" s="301"/>
      <c r="M4" s="299" t="s">
        <v>1914</v>
      </c>
    </row>
    <row r="5" spans="1:13" x14ac:dyDescent="0.2">
      <c r="A5" s="303"/>
      <c r="B5" s="675"/>
      <c r="C5" s="216" t="s">
        <v>2010</v>
      </c>
      <c r="D5" s="304" t="s">
        <v>2011</v>
      </c>
      <c r="E5" s="305" t="s">
        <v>2012</v>
      </c>
      <c r="F5" s="217" t="s">
        <v>2013</v>
      </c>
      <c r="G5" s="306" t="s">
        <v>2011</v>
      </c>
      <c r="H5" s="305" t="s">
        <v>2012</v>
      </c>
      <c r="I5" s="307" t="s">
        <v>803</v>
      </c>
      <c r="J5" s="306" t="s">
        <v>2011</v>
      </c>
      <c r="K5" s="307" t="s">
        <v>2012</v>
      </c>
      <c r="L5" s="307" t="s">
        <v>2014</v>
      </c>
      <c r="M5" s="305" t="s">
        <v>2015</v>
      </c>
    </row>
    <row r="6" spans="1:13" ht="13.5" thickBot="1" x14ac:dyDescent="0.25">
      <c r="A6" s="308"/>
      <c r="B6" s="676"/>
      <c r="C6" s="309" t="s">
        <v>2016</v>
      </c>
      <c r="D6" s="310" t="s">
        <v>2010</v>
      </c>
      <c r="E6" s="311" t="s">
        <v>2017</v>
      </c>
      <c r="F6" s="312" t="s">
        <v>2016</v>
      </c>
      <c r="G6" s="263" t="s">
        <v>2013</v>
      </c>
      <c r="H6" s="311" t="s">
        <v>2017</v>
      </c>
      <c r="I6" s="313" t="s">
        <v>2016</v>
      </c>
      <c r="J6" s="314" t="s">
        <v>1916</v>
      </c>
      <c r="K6" s="313" t="s">
        <v>2017</v>
      </c>
      <c r="L6" s="313" t="s">
        <v>2018</v>
      </c>
      <c r="M6" s="311" t="s">
        <v>2019</v>
      </c>
    </row>
    <row r="7" spans="1:13" ht="14.25" thickTop="1" thickBot="1" x14ac:dyDescent="0.25">
      <c r="A7" s="58"/>
      <c r="B7" s="49" t="s">
        <v>1863</v>
      </c>
      <c r="C7" s="315"/>
      <c r="D7" s="316"/>
      <c r="E7" s="153"/>
      <c r="F7" s="317"/>
      <c r="G7" s="269"/>
      <c r="H7" s="165"/>
      <c r="I7" s="164"/>
      <c r="J7" s="269"/>
      <c r="K7" s="164"/>
      <c r="L7" s="164"/>
      <c r="M7" s="318"/>
    </row>
    <row r="8" spans="1:13" ht="13.5" thickTop="1" x14ac:dyDescent="0.2">
      <c r="A8" s="40" t="s">
        <v>666</v>
      </c>
      <c r="B8" s="40" t="s">
        <v>1927</v>
      </c>
      <c r="C8" s="228">
        <f>VLOOKUP($A8,[0]!Data,139,FALSE)</f>
        <v>2091724</v>
      </c>
      <c r="D8" s="248">
        <f>C8/'Table  4'!M8</f>
        <v>0.67025486183141503</v>
      </c>
      <c r="E8" s="158">
        <f>C8/'Table 1'!D8</f>
        <v>13.151030467639922</v>
      </c>
      <c r="F8" s="228">
        <f>VLOOKUP($A8,[0]!Data,143,FALSE)</f>
        <v>225367</v>
      </c>
      <c r="G8" s="319">
        <f>F8/'Table  4'!M8</f>
        <v>7.2214750821026352E-2</v>
      </c>
      <c r="H8" s="320">
        <f>F8/'Table 1'!D8</f>
        <v>1.4169212971695146</v>
      </c>
      <c r="I8" s="228">
        <f>VLOOKUP($A8,[0]!Data,144,FALSE)</f>
        <v>485299</v>
      </c>
      <c r="J8" s="319">
        <f>I8/'Table  4'!M8</f>
        <v>0.15550522640268213</v>
      </c>
      <c r="K8" s="321">
        <f>I8/'Table 1'!D8</f>
        <v>3.0511587259672814</v>
      </c>
      <c r="L8" s="228">
        <f>VLOOKUP($A8,[0]!Data,145,FALSE)</f>
        <v>2802390</v>
      </c>
      <c r="M8" s="322">
        <f>L8/'Table 1'!D8</f>
        <v>17.619110490776716</v>
      </c>
    </row>
    <row r="9" spans="1:13" x14ac:dyDescent="0.2">
      <c r="A9" s="40" t="s">
        <v>711</v>
      </c>
      <c r="B9" s="40" t="s">
        <v>1928</v>
      </c>
      <c r="C9" s="228">
        <f>VLOOKUP($A9,[0]!Data,139,FALSE)</f>
        <v>347671</v>
      </c>
      <c r="D9" s="248">
        <f>C9/'Table  4'!M9</f>
        <v>0.57254675282756617</v>
      </c>
      <c r="E9" s="158">
        <f>C9/'Table 1'!D9</f>
        <v>9.0813655835335911</v>
      </c>
      <c r="F9" s="228">
        <f>VLOOKUP($A9,[0]!Data,143,FALSE)</f>
        <v>52180</v>
      </c>
      <c r="G9" s="319">
        <f>F9/'Table  4'!M9</f>
        <v>8.5930346685637871E-2</v>
      </c>
      <c r="H9" s="320">
        <f>F9/'Table 1'!D9</f>
        <v>1.3629714763347613</v>
      </c>
      <c r="I9" s="228">
        <f>VLOOKUP($A9,[0]!Data,144,FALSE)</f>
        <v>79394</v>
      </c>
      <c r="J9" s="319">
        <f>I9/'Table  4'!M9</f>
        <v>0.13074653017937013</v>
      </c>
      <c r="K9" s="321">
        <f>I9/'Table 1'!D9</f>
        <v>2.0738167380628982</v>
      </c>
      <c r="L9" s="228">
        <f>VLOOKUP($A9,[0]!Data,145,FALSE)</f>
        <v>479245</v>
      </c>
      <c r="M9" s="322">
        <f>L9/'Table 1'!D9</f>
        <v>12.51815379793125</v>
      </c>
    </row>
    <row r="10" spans="1:13" x14ac:dyDescent="0.2">
      <c r="A10" s="40" t="s">
        <v>775</v>
      </c>
      <c r="B10" s="40" t="s">
        <v>1929</v>
      </c>
      <c r="C10" s="228">
        <f>VLOOKUP($A10,[0]!Data,139,FALSE)</f>
        <v>434884</v>
      </c>
      <c r="D10" s="248">
        <f>C10/'Table  4'!M10</f>
        <v>0.79146086228547508</v>
      </c>
      <c r="E10" s="158">
        <f>C10/'Table 1'!D10</f>
        <v>12.544610147979347</v>
      </c>
      <c r="F10" s="228">
        <f>VLOOKUP($A10,[0]!Data,143,FALSE)</f>
        <v>24497</v>
      </c>
      <c r="G10" s="319">
        <f>F10/'Table  4'!M10</f>
        <v>4.4582961763153586E-2</v>
      </c>
      <c r="H10" s="320">
        <f>F10/'Table 1'!D10</f>
        <v>0.70663743617849828</v>
      </c>
      <c r="I10" s="228">
        <f>VLOOKUP($A10,[0]!Data,144,FALSE)</f>
        <v>70795</v>
      </c>
      <c r="J10" s="319">
        <f>I10/'Table  4'!M10</f>
        <v>0.12884233898120007</v>
      </c>
      <c r="K10" s="321">
        <f>I10/'Table 1'!D10</f>
        <v>2.0421438255401392</v>
      </c>
      <c r="L10" s="228">
        <f>VLOOKUP($A10,[0]!Data,145,FALSE)</f>
        <v>530176</v>
      </c>
      <c r="M10" s="322">
        <f>L10/'Table 1'!D10</f>
        <v>15.293391409697984</v>
      </c>
    </row>
    <row r="11" spans="1:13" x14ac:dyDescent="0.2">
      <c r="A11" s="40" t="s">
        <v>804</v>
      </c>
      <c r="B11" s="40" t="s">
        <v>1930</v>
      </c>
      <c r="C11" s="228">
        <f>VLOOKUP($A11,[0]!Data,139,FALSE)</f>
        <v>988116</v>
      </c>
      <c r="D11" s="248">
        <f>C11/'Table  4'!M11</f>
        <v>0.74855458049501833</v>
      </c>
      <c r="E11" s="158">
        <f>C11/'Table 1'!D11</f>
        <v>7.7347632093933463</v>
      </c>
      <c r="F11" s="228">
        <f>VLOOKUP($A11,[0]!Data,143,FALSE)</f>
        <v>82522</v>
      </c>
      <c r="G11" s="319">
        <f>F11/'Table  4'!M11</f>
        <v>6.2515151147850959E-2</v>
      </c>
      <c r="H11" s="320">
        <f>F11/'Table 1'!D11</f>
        <v>0.64596477495107629</v>
      </c>
      <c r="I11" s="228">
        <f>VLOOKUP($A11,[0]!Data,144,FALSE)</f>
        <v>175523</v>
      </c>
      <c r="J11" s="319">
        <f>I11/'Table  4'!M11</f>
        <v>0.13296874621221302</v>
      </c>
      <c r="K11" s="321">
        <f>I11/'Table 1'!D11</f>
        <v>1.3739569471624267</v>
      </c>
      <c r="L11" s="228">
        <f>VLOOKUP($A11,[0]!Data,145,FALSE)</f>
        <v>1246161</v>
      </c>
      <c r="M11" s="322">
        <f>L11/'Table 1'!D11</f>
        <v>9.7546849315068496</v>
      </c>
    </row>
    <row r="12" spans="1:13" x14ac:dyDescent="0.2">
      <c r="A12" s="40" t="s">
        <v>818</v>
      </c>
      <c r="B12" s="40" t="s">
        <v>1931</v>
      </c>
      <c r="C12" s="228">
        <f>VLOOKUP($A12,[0]!Data,139,FALSE)</f>
        <v>3827417</v>
      </c>
      <c r="D12" s="248">
        <f>C12/'Table  4'!M12</f>
        <v>0.74005052755000544</v>
      </c>
      <c r="E12" s="158">
        <f>C12/'Table 1'!D12</f>
        <v>14.811641370556412</v>
      </c>
      <c r="F12" s="228">
        <f>VLOOKUP($A12,[0]!Data,143,FALSE)</f>
        <v>666832</v>
      </c>
      <c r="G12" s="319">
        <f>F12/'Table  4'!M12</f>
        <v>0.1289353559821742</v>
      </c>
      <c r="H12" s="320">
        <f>F12/'Table 1'!D12</f>
        <v>2.5805592749394366</v>
      </c>
      <c r="I12" s="228">
        <f>VLOOKUP($A12,[0]!Data,144,FALSE)</f>
        <v>677583</v>
      </c>
      <c r="J12" s="319">
        <f>I12/'Table  4'!M12</f>
        <v>0.1310141164678203</v>
      </c>
      <c r="K12" s="321">
        <f>I12/'Table 1'!D12</f>
        <v>2.6221643460291171</v>
      </c>
      <c r="L12" s="228">
        <f>VLOOKUP($A12,[0]!Data,145,FALSE)</f>
        <v>5171832</v>
      </c>
      <c r="M12" s="322">
        <f>L12/'Table 1'!D12</f>
        <v>20.014364991524964</v>
      </c>
    </row>
    <row r="13" spans="1:13" x14ac:dyDescent="0.2">
      <c r="A13" s="40" t="s">
        <v>831</v>
      </c>
      <c r="B13" s="40" t="s">
        <v>1932</v>
      </c>
      <c r="C13" s="228">
        <f>VLOOKUP($A13,[0]!Data,139,FALSE)</f>
        <v>977540</v>
      </c>
      <c r="D13" s="248">
        <f>C13/'Table  4'!M13</f>
        <v>0.74964608949986278</v>
      </c>
      <c r="E13" s="158">
        <f>C13/'Table 1'!D13</f>
        <v>10.892174668791156</v>
      </c>
      <c r="F13" s="228">
        <f>VLOOKUP($A13,[0]!Data,143,FALSE)</f>
        <v>131106</v>
      </c>
      <c r="G13" s="319">
        <f>F13/'Table  4'!M13</f>
        <v>0.10054125683856313</v>
      </c>
      <c r="H13" s="320">
        <f>F13/'Table 1'!D13</f>
        <v>1.4608399166545958</v>
      </c>
      <c r="I13" s="228">
        <f>VLOOKUP($A13,[0]!Data,144,FALSE)</f>
        <v>217638</v>
      </c>
      <c r="J13" s="319">
        <f>I13/'Table  4'!M13</f>
        <v>0.16690005076679329</v>
      </c>
      <c r="K13" s="321">
        <f>I13/'Table 1'!D13</f>
        <v>2.4250169922114386</v>
      </c>
      <c r="L13" s="228">
        <f>VLOOKUP($A13,[0]!Data,145,FALSE)</f>
        <v>1326284</v>
      </c>
      <c r="M13" s="322">
        <f>L13/'Table 1'!D13</f>
        <v>14.778031577657192</v>
      </c>
    </row>
    <row r="14" spans="1:13" x14ac:dyDescent="0.2">
      <c r="A14" s="40" t="s">
        <v>843</v>
      </c>
      <c r="B14" s="40" t="s">
        <v>1933</v>
      </c>
      <c r="C14" s="228">
        <f>VLOOKUP($A14,[0]!Data,139,FALSE)</f>
        <v>2482810</v>
      </c>
      <c r="D14" s="248">
        <f>C14/'Table  4'!M14</f>
        <v>0.7438117050709192</v>
      </c>
      <c r="E14" s="158">
        <f>C14/'Table 1'!D14</f>
        <v>12.373033394297902</v>
      </c>
      <c r="F14" s="228">
        <f>VLOOKUP($A14,[0]!Data,143,FALSE)</f>
        <v>452420</v>
      </c>
      <c r="G14" s="319">
        <f>F14/'Table  4'!M14</f>
        <v>0.13553807645699237</v>
      </c>
      <c r="H14" s="320">
        <f>F14/'Table 1'!D14</f>
        <v>2.2546259150914718</v>
      </c>
      <c r="I14" s="228">
        <f>VLOOKUP($A14,[0]!Data,144,FALSE)</f>
        <v>392069</v>
      </c>
      <c r="J14" s="319">
        <f>I14/'Table  4'!M14</f>
        <v>0.11745784469832578</v>
      </c>
      <c r="K14" s="321">
        <f>I14/'Table 1'!D14</f>
        <v>1.953867927819279</v>
      </c>
      <c r="L14" s="228">
        <f>VLOOKUP($A14,[0]!Data,145,FALSE)</f>
        <v>3327299</v>
      </c>
      <c r="M14" s="322">
        <f>L14/'Table 1'!D14</f>
        <v>16.581527237208654</v>
      </c>
    </row>
    <row r="15" spans="1:13" x14ac:dyDescent="0.2">
      <c r="A15" s="40" t="s">
        <v>855</v>
      </c>
      <c r="B15" s="40" t="s">
        <v>1934</v>
      </c>
      <c r="C15" s="228">
        <f>VLOOKUP($A15,[0]!Data,139,FALSE)</f>
        <v>887854</v>
      </c>
      <c r="D15" s="248">
        <f>C15/'Table  4'!M15</f>
        <v>0.77322427452582154</v>
      </c>
      <c r="E15" s="158">
        <f>C15/'Table 1'!D15</f>
        <v>10.726501715555985</v>
      </c>
      <c r="F15" s="228">
        <f>VLOOKUP($A15,[0]!Data,143,FALSE)</f>
        <v>142241</v>
      </c>
      <c r="G15" s="319">
        <f>F15/'Table  4'!M15</f>
        <v>0.12387644143387018</v>
      </c>
      <c r="H15" s="320">
        <f>F15/'Table 1'!D15</f>
        <v>1.7184675977383657</v>
      </c>
      <c r="I15" s="228">
        <f>VLOOKUP($A15,[0]!Data,144,FALSE)</f>
        <v>73948</v>
      </c>
      <c r="J15" s="319">
        <f>I15/'Table  4'!M15</f>
        <v>6.4400665709266891E-2</v>
      </c>
      <c r="K15" s="321">
        <f>I15/'Table 1'!D15</f>
        <v>0.89339390131928675</v>
      </c>
      <c r="L15" s="228">
        <f>VLOOKUP($A15,[0]!Data,145,FALSE)</f>
        <v>1104043</v>
      </c>
      <c r="M15" s="322">
        <f>L15/'Table 1'!D15</f>
        <v>13.338363214613638</v>
      </c>
    </row>
    <row r="16" spans="1:13" x14ac:dyDescent="0.2">
      <c r="A16" s="40" t="s">
        <v>868</v>
      </c>
      <c r="B16" s="40" t="s">
        <v>1935</v>
      </c>
      <c r="C16" s="228">
        <f>VLOOKUP($A16,[0]!Data,139,FALSE)</f>
        <v>211509</v>
      </c>
      <c r="D16" s="248">
        <f>C16/'Table  4'!M16</f>
        <v>0.66918615871850762</v>
      </c>
      <c r="E16" s="158">
        <f>C16/'Table 1'!D16</f>
        <v>8.928574443834691</v>
      </c>
      <c r="F16" s="228">
        <f>VLOOKUP($A16,[0]!Data,143,FALSE)</f>
        <v>27811</v>
      </c>
      <c r="G16" s="319">
        <f>F16/'Table  4'!M16</f>
        <v>8.7990280603285995E-2</v>
      </c>
      <c r="H16" s="320">
        <f>F16/'Table 1'!D16</f>
        <v>1.1740048123601672</v>
      </c>
      <c r="I16" s="228">
        <f>VLOOKUP($A16,[0]!Data,144,FALSE)</f>
        <v>74475</v>
      </c>
      <c r="J16" s="319">
        <f>I16/'Table  4'!M16</f>
        <v>0.23562892912623509</v>
      </c>
      <c r="K16" s="321">
        <f>I16/'Table 1'!D16</f>
        <v>3.1438642407868631</v>
      </c>
      <c r="L16" s="228">
        <f>VLOOKUP($A16,[0]!Data,145,FALSE)</f>
        <v>313795</v>
      </c>
      <c r="M16" s="322">
        <f>L16/'Table 1'!D16</f>
        <v>13.246443496981721</v>
      </c>
    </row>
    <row r="17" spans="1:13" x14ac:dyDescent="0.2">
      <c r="A17" s="40" t="s">
        <v>881</v>
      </c>
      <c r="B17" s="40" t="s">
        <v>1936</v>
      </c>
      <c r="C17" s="228">
        <f>VLOOKUP($A17,[0]!Data,139,FALSE)</f>
        <v>1984704</v>
      </c>
      <c r="D17" s="248">
        <f>C17/'Table  4'!M17</f>
        <v>0.73167030774550734</v>
      </c>
      <c r="E17" s="158">
        <f>C17/'Table 1'!D17</f>
        <v>17.093602508009784</v>
      </c>
      <c r="F17" s="228">
        <f>VLOOKUP($A17,[0]!Data,143,FALSE)</f>
        <v>330808</v>
      </c>
      <c r="G17" s="319">
        <f>F17/'Table  4'!M17</f>
        <v>0.12195389900190447</v>
      </c>
      <c r="H17" s="320">
        <f>F17/'Table 1'!D17</f>
        <v>2.8491404554380404</v>
      </c>
      <c r="I17" s="228">
        <f>VLOOKUP($A17,[0]!Data,144,FALSE)</f>
        <v>397054</v>
      </c>
      <c r="J17" s="319">
        <f>I17/'Table  4'!M17</f>
        <v>0.14637579325258815</v>
      </c>
      <c r="K17" s="321">
        <f>I17/'Table 1'!D17</f>
        <v>3.4196954559548005</v>
      </c>
      <c r="L17" s="228">
        <f>VLOOKUP($A17,[0]!Data,145,FALSE)</f>
        <v>2712566</v>
      </c>
      <c r="M17" s="322">
        <f>L17/'Table 1'!D17</f>
        <v>23.362438419402626</v>
      </c>
    </row>
    <row r="18" spans="1:13" x14ac:dyDescent="0.2">
      <c r="A18" s="40" t="s">
        <v>932</v>
      </c>
      <c r="B18" s="40" t="s">
        <v>1937</v>
      </c>
      <c r="C18" s="228">
        <f>VLOOKUP($A18,[0]!Data,139,FALSE)</f>
        <v>964425</v>
      </c>
      <c r="D18" s="248">
        <f>C18/'Table  4'!M18</f>
        <v>0.44365285569971497</v>
      </c>
      <c r="E18" s="158">
        <f>C18/'Table 1'!D18</f>
        <v>13.159744016592528</v>
      </c>
      <c r="F18" s="228">
        <f>VLOOKUP($A18,[0]!Data,143,FALSE)</f>
        <v>160499</v>
      </c>
      <c r="G18" s="319">
        <f>F18/'Table  4'!M18</f>
        <v>7.3832428324596064E-2</v>
      </c>
      <c r="H18" s="320">
        <f>F18/'Table 1'!D18</f>
        <v>2.190036296154791</v>
      </c>
      <c r="I18" s="228">
        <f>VLOOKUP($A18,[0]!Data,144,FALSE)</f>
        <v>829544</v>
      </c>
      <c r="J18" s="319">
        <f>I18/'Table  4'!M18</f>
        <v>0.38160516839418757</v>
      </c>
      <c r="K18" s="321">
        <f>I18/'Table 1'!D18</f>
        <v>11.319269710449472</v>
      </c>
      <c r="L18" s="228">
        <f>VLOOKUP($A18,[0]!Data,145,FALSE)</f>
        <v>1954468</v>
      </c>
      <c r="M18" s="322">
        <f>L18/'Table 1'!D18</f>
        <v>26.669050023196792</v>
      </c>
    </row>
    <row r="19" spans="1:13" x14ac:dyDescent="0.2">
      <c r="A19" s="40" t="s">
        <v>947</v>
      </c>
      <c r="B19" s="40" t="s">
        <v>1938</v>
      </c>
      <c r="C19" s="228">
        <f>VLOOKUP($A19,[0]!Data,139,FALSE)</f>
        <v>790018</v>
      </c>
      <c r="D19" s="248">
        <f>C19/'Table  4'!M19</f>
        <v>0.74417040548827296</v>
      </c>
      <c r="E19" s="158">
        <f>C19/'Table 1'!D19</f>
        <v>8.9165810769630145</v>
      </c>
      <c r="F19" s="228">
        <f>VLOOKUP($A19,[0]!Data,143,FALSE)</f>
        <v>89590</v>
      </c>
      <c r="G19" s="319">
        <f>F19/'Table  4'!M19</f>
        <v>8.4390769106139837E-2</v>
      </c>
      <c r="H19" s="320">
        <f>F19/'Table 1'!D19</f>
        <v>1.0111624022302232</v>
      </c>
      <c r="I19" s="228">
        <f>VLOOKUP($A19,[0]!Data,144,FALSE)</f>
        <v>182001</v>
      </c>
      <c r="J19" s="319">
        <f>I19/'Table  4'!M19</f>
        <v>0.17143882540558719</v>
      </c>
      <c r="K19" s="321">
        <f>I19/'Table 1'!D19</f>
        <v>2.0541641742192525</v>
      </c>
      <c r="L19" s="228">
        <f>VLOOKUP($A19,[0]!Data,145,FALSE)</f>
        <v>1061609</v>
      </c>
      <c r="M19" s="322">
        <f>L19/'Table 1'!D19</f>
        <v>11.98190765341249</v>
      </c>
    </row>
    <row r="20" spans="1:13" x14ac:dyDescent="0.2">
      <c r="A20" s="40" t="s">
        <v>961</v>
      </c>
      <c r="B20" s="40" t="s">
        <v>1939</v>
      </c>
      <c r="C20" s="228">
        <f>VLOOKUP($A20,[0]!Data,139,FALSE)</f>
        <v>1111296</v>
      </c>
      <c r="D20" s="248">
        <f>C20/'Table  4'!M20</f>
        <v>0.75863839176000913</v>
      </c>
      <c r="E20" s="158">
        <f>C20/'Table 1'!D20</f>
        <v>19.434367458291071</v>
      </c>
      <c r="F20" s="228">
        <f>VLOOKUP($A20,[0]!Data,143,FALSE)</f>
        <v>107700</v>
      </c>
      <c r="G20" s="319">
        <f>F20/'Table  4'!M20</f>
        <v>7.352258515512787E-2</v>
      </c>
      <c r="H20" s="320">
        <f>F20/'Table 1'!D20</f>
        <v>1.8834598300164387</v>
      </c>
      <c r="I20" s="228">
        <f>VLOOKUP($A20,[0]!Data,144,FALSE)</f>
        <v>145860</v>
      </c>
      <c r="J20" s="319">
        <f>I20/'Table  4'!M20</f>
        <v>9.9572927304799927E-2</v>
      </c>
      <c r="K20" s="321">
        <f>I20/'Table 1'!D20</f>
        <v>2.5508027001503968</v>
      </c>
      <c r="L20" s="228">
        <f>VLOOKUP($A20,[0]!Data,145,FALSE)</f>
        <v>1364856</v>
      </c>
      <c r="M20" s="322">
        <f>L20/'Table 1'!D20</f>
        <v>23.868629988457908</v>
      </c>
    </row>
    <row r="21" spans="1:13" x14ac:dyDescent="0.2">
      <c r="A21" s="40" t="s">
        <v>991</v>
      </c>
      <c r="B21" s="40" t="s">
        <v>1940</v>
      </c>
      <c r="C21" s="228">
        <f>VLOOKUP($A21,[0]!Data,139,FALSE)</f>
        <v>8678687</v>
      </c>
      <c r="D21" s="248">
        <f>C21/'Table  4'!M21</f>
        <v>0.78430393881359151</v>
      </c>
      <c r="E21" s="158">
        <f>C21/'Table 1'!D21</f>
        <v>26.313085160570488</v>
      </c>
      <c r="F21" s="228">
        <f>VLOOKUP($A21,[0]!Data,143,FALSE)</f>
        <v>1115612</v>
      </c>
      <c r="G21" s="319">
        <f>F21/'Table  4'!M21</f>
        <v>0.10081926975678562</v>
      </c>
      <c r="H21" s="320">
        <f>F21/'Table 1'!D21</f>
        <v>3.3824463956534396</v>
      </c>
      <c r="I21" s="228">
        <f>VLOOKUP($A21,[0]!Data,144,FALSE)</f>
        <v>1290909</v>
      </c>
      <c r="J21" s="319">
        <f>I21/'Table  4'!M21</f>
        <v>0.11666108172237513</v>
      </c>
      <c r="K21" s="321">
        <f>I21/'Table 1'!D21</f>
        <v>3.9139328854176774</v>
      </c>
      <c r="L21" s="228">
        <f>VLOOKUP($A21,[0]!Data,145,FALSE)</f>
        <v>11085208</v>
      </c>
      <c r="M21" s="322">
        <f>L21/'Table 1'!D21</f>
        <v>33.609464441641606</v>
      </c>
    </row>
    <row r="22" spans="1:13" x14ac:dyDescent="0.2">
      <c r="A22" s="40" t="s">
        <v>1007</v>
      </c>
      <c r="B22" s="40" t="s">
        <v>1941</v>
      </c>
      <c r="C22" s="228">
        <f>VLOOKUP($A22,[0]!Data,139,FALSE)</f>
        <v>2447693</v>
      </c>
      <c r="D22" s="248">
        <f>C22/'Table  4'!M22</f>
        <v>0.65496439923695637</v>
      </c>
      <c r="E22" s="158">
        <f>C22/'Table 1'!D22</f>
        <v>15.285852567945643</v>
      </c>
      <c r="F22" s="228">
        <f>VLOOKUP($A22,[0]!Data,143,FALSE)</f>
        <v>341685</v>
      </c>
      <c r="G22" s="319">
        <f>F22/'Table  4'!M22</f>
        <v>9.1429566842442841E-2</v>
      </c>
      <c r="H22" s="320">
        <f>F22/'Table 1'!D22</f>
        <v>2.133824190647482</v>
      </c>
      <c r="I22" s="228">
        <f>VLOOKUP($A22,[0]!Data,144,FALSE)</f>
        <v>910274</v>
      </c>
      <c r="J22" s="319">
        <f>I22/'Table  4'!M22</f>
        <v>0.24357509849111847</v>
      </c>
      <c r="K22" s="321">
        <f>I22/'Table 1'!D22</f>
        <v>5.6846647681854519</v>
      </c>
      <c r="L22" s="228">
        <f>VLOOKUP($A22,[0]!Data,145,FALSE)</f>
        <v>3699652</v>
      </c>
      <c r="M22" s="322">
        <f>L22/'Table 1'!D22</f>
        <v>23.104341526778576</v>
      </c>
    </row>
    <row r="23" spans="1:13" x14ac:dyDescent="0.2">
      <c r="A23" s="40" t="s">
        <v>1024</v>
      </c>
      <c r="B23" s="40" t="s">
        <v>1942</v>
      </c>
      <c r="C23" s="228">
        <f>VLOOKUP($A23,[0]!Data,139,FALSE)</f>
        <v>446050</v>
      </c>
      <c r="D23" s="248">
        <f>C23/'Table  4'!M23</f>
        <v>0.67854649119737864</v>
      </c>
      <c r="E23" s="158">
        <f>C23/'Table 1'!D23</f>
        <v>10.5671507426974</v>
      </c>
      <c r="F23" s="228">
        <f>VLOOKUP($A23,[0]!Data,143,FALSE)</f>
        <v>101017</v>
      </c>
      <c r="G23" s="319">
        <f>F23/'Table  4'!M23</f>
        <v>0.15367050981119962</v>
      </c>
      <c r="H23" s="320">
        <f>F23/'Table 1'!D23</f>
        <v>2.393143967212338</v>
      </c>
      <c r="I23" s="228">
        <f>VLOOKUP($A23,[0]!Data,144,FALSE)</f>
        <v>110294</v>
      </c>
      <c r="J23" s="319">
        <f>I23/'Table  4'!M23</f>
        <v>0.16778299899142177</v>
      </c>
      <c r="K23" s="321">
        <f>I23/'Table 1'!D23</f>
        <v>2.6129208026343842</v>
      </c>
      <c r="L23" s="228">
        <f>VLOOKUP($A23,[0]!Data,145,FALSE)</f>
        <v>657361</v>
      </c>
      <c r="M23" s="322">
        <f>L23/'Table 1'!D23</f>
        <v>15.573215512544124</v>
      </c>
    </row>
    <row r="24" spans="1:13" x14ac:dyDescent="0.2">
      <c r="A24" s="40" t="s">
        <v>1037</v>
      </c>
      <c r="B24" s="40" t="s">
        <v>1943</v>
      </c>
      <c r="C24" s="228">
        <f>VLOOKUP($A24,[0]!Data,139,FALSE)</f>
        <v>385611</v>
      </c>
      <c r="D24" s="248">
        <f>C24/'Table  4'!M24</f>
        <v>0.59810708231027776</v>
      </c>
      <c r="E24" s="158">
        <f>C24/'Table 1'!D24</f>
        <v>6.4703089081665182</v>
      </c>
      <c r="F24" s="228">
        <f>VLOOKUP($A24,[0]!Data,143,FALSE)</f>
        <v>112800</v>
      </c>
      <c r="G24" s="319">
        <f>F24/'Table  4'!M24</f>
        <v>0.17495994378946486</v>
      </c>
      <c r="H24" s="320">
        <f>F24/'Table 1'!D24</f>
        <v>1.8927127204389482</v>
      </c>
      <c r="I24" s="228">
        <f>VLOOKUP($A24,[0]!Data,144,FALSE)</f>
        <v>84400</v>
      </c>
      <c r="J24" s="319">
        <f>I24/'Table  4'!M24</f>
        <v>0.13090974517580528</v>
      </c>
      <c r="K24" s="321">
        <f>I24/'Table 1'!D24</f>
        <v>1.4161786667114116</v>
      </c>
      <c r="L24" s="228">
        <f>VLOOKUP($A24,[0]!Data,145,FALSE)</f>
        <v>582811</v>
      </c>
      <c r="M24" s="322">
        <f>L24/'Table 1'!D24</f>
        <v>9.779200295316878</v>
      </c>
    </row>
    <row r="25" spans="1:13" x14ac:dyDescent="0.2">
      <c r="A25" s="40" t="s">
        <v>1053</v>
      </c>
      <c r="B25" s="40" t="s">
        <v>1944</v>
      </c>
      <c r="C25" s="228">
        <f>VLOOKUP($A25,[0]!Data,139,FALSE)</f>
        <v>7962478</v>
      </c>
      <c r="D25" s="248">
        <f>C25/'Table  4'!M25</f>
        <v>0.68603456365841076</v>
      </c>
      <c r="E25" s="158">
        <f>C25/'Table 1'!D25</f>
        <v>26.68748491754927</v>
      </c>
      <c r="F25" s="228">
        <f>VLOOKUP($A25,[0]!Data,143,FALSE)</f>
        <v>1711884</v>
      </c>
      <c r="G25" s="319">
        <f>F25/'Table  4'!M25</f>
        <v>0.14749322924017058</v>
      </c>
      <c r="H25" s="320">
        <f>F25/'Table 1'!D25</f>
        <v>5.7376457970237293</v>
      </c>
      <c r="I25" s="228">
        <f>VLOOKUP($A25,[0]!Data,144,FALSE)</f>
        <v>1223907</v>
      </c>
      <c r="J25" s="319">
        <f>I25/'Table  4'!M25</f>
        <v>0.10544989947896555</v>
      </c>
      <c r="K25" s="321">
        <f>I25/'Table 1'!D25</f>
        <v>4.1021148947580102</v>
      </c>
      <c r="L25" s="228">
        <f>VLOOKUP($A25,[0]!Data,145,FALSE)</f>
        <v>10898269</v>
      </c>
      <c r="M25" s="322">
        <f>L25/'Table 1'!D25</f>
        <v>36.527245609331011</v>
      </c>
    </row>
    <row r="26" spans="1:13" x14ac:dyDescent="0.2">
      <c r="A26" s="40" t="s">
        <v>1086</v>
      </c>
      <c r="B26" s="40" t="s">
        <v>1945</v>
      </c>
      <c r="C26" s="228">
        <f>VLOOKUP($A26,[0]!Data,139,FALSE)</f>
        <v>464613</v>
      </c>
      <c r="D26" s="248">
        <f>C26/'Table  4'!M26</f>
        <v>0.6516320499748246</v>
      </c>
      <c r="E26" s="158">
        <f>C26/'Table 1'!D26</f>
        <v>8.6840305035325791</v>
      </c>
      <c r="F26" s="228">
        <f>VLOOKUP($A26,[0]!Data,143,FALSE)</f>
        <v>48809</v>
      </c>
      <c r="G26" s="319">
        <f>F26/'Table  4'!M26</f>
        <v>6.8455916487961413E-2</v>
      </c>
      <c r="H26" s="320">
        <f>F26/'Table 1'!D26</f>
        <v>0.91228365294755331</v>
      </c>
      <c r="I26" s="228">
        <f>VLOOKUP($A26,[0]!Data,144,FALSE)</f>
        <v>190501</v>
      </c>
      <c r="J26" s="319">
        <f>I26/'Table  4'!M26</f>
        <v>0.26718270292104196</v>
      </c>
      <c r="K26" s="321">
        <f>I26/'Table 1'!D26</f>
        <v>3.5606332473552391</v>
      </c>
      <c r="L26" s="228">
        <f>VLOOKUP($A26,[0]!Data,145,FALSE)</f>
        <v>703923</v>
      </c>
      <c r="M26" s="322">
        <f>L26/'Table 1'!D26</f>
        <v>13.156947403835371</v>
      </c>
    </row>
    <row r="27" spans="1:13" x14ac:dyDescent="0.2">
      <c r="A27" s="40" t="s">
        <v>1132</v>
      </c>
      <c r="B27" s="40" t="s">
        <v>1946</v>
      </c>
      <c r="C27" s="228">
        <f>VLOOKUP($A27,[0]!Data,139,FALSE)</f>
        <v>4973880</v>
      </c>
      <c r="D27" s="248">
        <f>C27/'Table  4'!M27</f>
        <v>0.65027789133874059</v>
      </c>
      <c r="E27" s="158">
        <f>C27/'Table 1'!D27</f>
        <v>13.475223034680436</v>
      </c>
      <c r="F27" s="228">
        <f>VLOOKUP($A27,[0]!Data,143,FALSE)</f>
        <v>1008891</v>
      </c>
      <c r="G27" s="319">
        <f>F27/'Table  4'!M27</f>
        <v>0.1319009529925598</v>
      </c>
      <c r="H27" s="320">
        <f>F27/'Table 1'!D27</f>
        <v>2.7332849290054808</v>
      </c>
      <c r="I27" s="228">
        <f>VLOOKUP($A27,[0]!Data,144,FALSE)</f>
        <v>1666082</v>
      </c>
      <c r="J27" s="319">
        <f>I27/'Table  4'!M27</f>
        <v>0.21782115566869961</v>
      </c>
      <c r="K27" s="321">
        <f>I27/'Table 1'!D27</f>
        <v>4.5137451132850916</v>
      </c>
      <c r="L27" s="228">
        <f>VLOOKUP($A27,[0]!Data,145,FALSE)</f>
        <v>7648853</v>
      </c>
      <c r="M27" s="322">
        <f>L27/'Table 1'!D27</f>
        <v>20.722253076971008</v>
      </c>
    </row>
    <row r="28" spans="1:13" x14ac:dyDescent="0.2">
      <c r="A28" s="40" t="s">
        <v>1146</v>
      </c>
      <c r="B28" s="40" t="s">
        <v>1947</v>
      </c>
      <c r="C28" s="228">
        <f>VLOOKUP($A28,[0]!Data,139,FALSE)</f>
        <v>708627</v>
      </c>
      <c r="D28" s="248">
        <f>C28/'Table  4'!M28</f>
        <v>0.78078650831165486</v>
      </c>
      <c r="E28" s="158">
        <f>C28/'Table 1'!D28</f>
        <v>10.827824891129957</v>
      </c>
      <c r="F28" s="228">
        <f>VLOOKUP($A28,[0]!Data,143,FALSE)</f>
        <v>72323</v>
      </c>
      <c r="G28" s="319">
        <f>F28/'Table  4'!M28</f>
        <v>7.968765322323848E-2</v>
      </c>
      <c r="H28" s="320">
        <f>F28/'Table 1'!D28</f>
        <v>1.1050958820383527</v>
      </c>
      <c r="I28" s="228">
        <f>VLOOKUP($A28,[0]!Data,144,FALSE)</f>
        <v>129466</v>
      </c>
      <c r="J28" s="319">
        <f>I28/'Table  4'!M28</f>
        <v>0.14264952659872782</v>
      </c>
      <c r="K28" s="321">
        <f>I28/'Table 1'!D28</f>
        <v>1.9782412712965085</v>
      </c>
      <c r="L28" s="228">
        <f>VLOOKUP($A28,[0]!Data,145,FALSE)</f>
        <v>910416</v>
      </c>
      <c r="M28" s="322">
        <f>L28/'Table 1'!D28</f>
        <v>13.911162044464819</v>
      </c>
    </row>
    <row r="29" spans="1:13" x14ac:dyDescent="0.2">
      <c r="A29" s="40" t="s">
        <v>1161</v>
      </c>
      <c r="B29" s="40" t="s">
        <v>1176</v>
      </c>
      <c r="C29" s="228">
        <f>VLOOKUP($A29,[0]!Data,139,FALSE)</f>
        <v>2874528</v>
      </c>
      <c r="D29" s="248">
        <f>C29/'Table  4'!M29</f>
        <v>0.70720811373478509</v>
      </c>
      <c r="E29" s="158">
        <f>C29/'Table 1'!D29</f>
        <v>13.406500538680024</v>
      </c>
      <c r="F29" s="228">
        <f>VLOOKUP($A29,[0]!Data,143,FALSE)</f>
        <v>432853</v>
      </c>
      <c r="G29" s="319">
        <f>F29/'Table  4'!M29</f>
        <v>0.10649301508089083</v>
      </c>
      <c r="H29" s="320">
        <f>F29/'Table 1'!D29</f>
        <v>2.0187815104494597</v>
      </c>
      <c r="I29" s="228">
        <f>VLOOKUP($A29,[0]!Data,144,FALSE)</f>
        <v>506780</v>
      </c>
      <c r="J29" s="319">
        <f>I29/'Table  4'!M29</f>
        <v>0.12468096601546912</v>
      </c>
      <c r="K29" s="321">
        <f>I29/'Table 1'!D29</f>
        <v>2.3635693731256966</v>
      </c>
      <c r="L29" s="228">
        <f>VLOOKUP($A29,[0]!Data,145,FALSE)</f>
        <v>3814161</v>
      </c>
      <c r="M29" s="322">
        <f>L29/'Table 1'!D29</f>
        <v>17.788851422255181</v>
      </c>
    </row>
    <row r="30" spans="1:13" x14ac:dyDescent="0.2">
      <c r="A30" s="40" t="s">
        <v>1187</v>
      </c>
      <c r="B30" s="40" t="s">
        <v>1948</v>
      </c>
      <c r="C30" s="228">
        <f>VLOOKUP($A30,[0]!Data,139,FALSE)</f>
        <v>708354</v>
      </c>
      <c r="D30" s="248">
        <f>C30/'Table  4'!M30</f>
        <v>0.38707763093543462</v>
      </c>
      <c r="E30" s="158">
        <f>C30/'Table 1'!D30</f>
        <v>11.918530109535107</v>
      </c>
      <c r="F30" s="228">
        <f>VLOOKUP($A30,[0]!Data,143,FALSE)</f>
        <v>186701</v>
      </c>
      <c r="G30" s="319">
        <f>F30/'Table  4'!M30</f>
        <v>0.10202212562260758</v>
      </c>
      <c r="H30" s="320">
        <f>F30/'Table 1'!D30</f>
        <v>3.141369272962832</v>
      </c>
      <c r="I30" s="228">
        <f>VLOOKUP($A30,[0]!Data,144,FALSE)</f>
        <v>116678</v>
      </c>
      <c r="J30" s="319">
        <f>I30/'Table  4'!M30</f>
        <v>6.3758295742361359E-2</v>
      </c>
      <c r="K30" s="321">
        <f>I30/'Table 1'!D30</f>
        <v>1.963185435700705</v>
      </c>
      <c r="L30" s="228">
        <f>VLOOKUP($A30,[0]!Data,145,FALSE)</f>
        <v>1011733</v>
      </c>
      <c r="M30" s="322">
        <f>L30/'Table 1'!D30</f>
        <v>17.023084818198644</v>
      </c>
    </row>
    <row r="31" spans="1:13" x14ac:dyDescent="0.2">
      <c r="A31" s="40" t="s">
        <v>1201</v>
      </c>
      <c r="B31" s="40" t="s">
        <v>1949</v>
      </c>
      <c r="C31" s="228">
        <f>VLOOKUP($A31,[0]!Data,139,FALSE)</f>
        <v>5674389</v>
      </c>
      <c r="D31" s="248">
        <f>C31/'Table  4'!M31</f>
        <v>0.62480134958410172</v>
      </c>
      <c r="E31" s="158">
        <f>C31/'Table 1'!D31</f>
        <v>13.639177859608303</v>
      </c>
      <c r="F31" s="228">
        <f>VLOOKUP($A31,[0]!Data,143,FALSE)</f>
        <v>1011748</v>
      </c>
      <c r="G31" s="319">
        <f>F31/'Table  4'!M31</f>
        <v>0.1114025696579871</v>
      </c>
      <c r="H31" s="320">
        <f>F31/'Table 1'!D31</f>
        <v>2.4318760876462613</v>
      </c>
      <c r="I31" s="228">
        <f>VLOOKUP($A31,[0]!Data,144,FALSE)</f>
        <v>1597345</v>
      </c>
      <c r="J31" s="319">
        <f>I31/'Table  4'!M31</f>
        <v>0.1758820750130837</v>
      </c>
      <c r="K31" s="321">
        <f>I31/'Table 1'!D31</f>
        <v>3.8394393754386638</v>
      </c>
      <c r="L31" s="228">
        <f>VLOOKUP($A31,[0]!Data,145,FALSE)</f>
        <v>8283482</v>
      </c>
      <c r="M31" s="322">
        <f>L31/'Table 1'!D31</f>
        <v>19.910493322693227</v>
      </c>
    </row>
    <row r="32" spans="1:13" x14ac:dyDescent="0.2">
      <c r="A32" s="40" t="s">
        <v>1218</v>
      </c>
      <c r="B32" s="40" t="s">
        <v>1950</v>
      </c>
      <c r="C32" s="228">
        <f>VLOOKUP($A32,[0]!Data,139,FALSE)</f>
        <v>487338</v>
      </c>
      <c r="D32" s="248">
        <f>C32/'Table  4'!M32</f>
        <v>0.78647935511462208</v>
      </c>
      <c r="E32" s="158">
        <f>C32/'Table 1'!D32</f>
        <v>13.15032785558164</v>
      </c>
      <c r="F32" s="228">
        <f>VLOOKUP($A32,[0]!Data,143,FALSE)</f>
        <v>13960</v>
      </c>
      <c r="G32" s="319">
        <f>F32/'Table  4'!M32</f>
        <v>2.2529028718056305E-2</v>
      </c>
      <c r="H32" s="320">
        <f>F32/'Table 1'!D32</f>
        <v>0.37669661890498934</v>
      </c>
      <c r="I32" s="228">
        <f>VLOOKUP($A32,[0]!Data,144,FALSE)</f>
        <v>52893</v>
      </c>
      <c r="J32" s="319">
        <f>I32/'Table  4'!M32</f>
        <v>8.5360165901443574E-2</v>
      </c>
      <c r="K32" s="321">
        <f>I32/'Table 1'!D32</f>
        <v>1.4272646320731806</v>
      </c>
      <c r="L32" s="228">
        <f>VLOOKUP($A32,[0]!Data,145,FALSE)</f>
        <v>554191</v>
      </c>
      <c r="M32" s="322">
        <f>L32/'Table 1'!D32</f>
        <v>14.954289106559811</v>
      </c>
    </row>
    <row r="33" spans="1:13" x14ac:dyDescent="0.2">
      <c r="A33" s="40" t="s">
        <v>1232</v>
      </c>
      <c r="B33" s="40" t="s">
        <v>1951</v>
      </c>
      <c r="C33" s="228">
        <f>VLOOKUP($A33,[0]!Data,139,FALSE)</f>
        <v>1025000</v>
      </c>
      <c r="D33" s="248">
        <f>C33/'Table  4'!M33</f>
        <v>0.62424367549803983</v>
      </c>
      <c r="E33" s="158">
        <f>C33/'Table 1'!D33</f>
        <v>7.9591250397956248</v>
      </c>
      <c r="F33" s="228">
        <f>VLOOKUP($A33,[0]!Data,143,FALSE)</f>
        <v>183102</v>
      </c>
      <c r="G33" s="319">
        <f>F33/'Table  4'!M33</f>
        <v>0.11151245411808985</v>
      </c>
      <c r="H33" s="320">
        <f>F33/'Table 1'!D33</f>
        <v>1.4217870371089352</v>
      </c>
      <c r="I33" s="228">
        <f>VLOOKUP($A33,[0]!Data,144,FALSE)</f>
        <v>169195</v>
      </c>
      <c r="J33" s="319">
        <f>I33/'Table  4'!M33</f>
        <v>0.10304283773257644</v>
      </c>
      <c r="K33" s="321">
        <f>I33/'Table 1'!D33</f>
        <v>1.313799181568996</v>
      </c>
      <c r="L33" s="228">
        <f>VLOOKUP($A33,[0]!Data,145,FALSE)</f>
        <v>1377297</v>
      </c>
      <c r="M33" s="322">
        <f>L33/'Table 1'!D33</f>
        <v>10.694711258473557</v>
      </c>
    </row>
    <row r="34" spans="1:13" x14ac:dyDescent="0.2">
      <c r="A34" s="40" t="s">
        <v>1256</v>
      </c>
      <c r="B34" s="40" t="s">
        <v>1952</v>
      </c>
      <c r="C34" s="228">
        <f>VLOOKUP($A34,[0]!Data,139,FALSE)</f>
        <v>1017227</v>
      </c>
      <c r="D34" s="248">
        <f>C34/'Table  4'!M34</f>
        <v>0.74084834060057225</v>
      </c>
      <c r="E34" s="158">
        <f>C34/'Table 1'!D34</f>
        <v>16.467711385601657</v>
      </c>
      <c r="F34" s="228">
        <f>VLOOKUP($A34,[0]!Data,143,FALSE)</f>
        <v>112651</v>
      </c>
      <c r="G34" s="319">
        <f>F34/'Table  4'!M34</f>
        <v>8.2043935539456853E-2</v>
      </c>
      <c r="H34" s="320">
        <f>F34/'Table 1'!D34</f>
        <v>1.823687490893785</v>
      </c>
      <c r="I34" s="228">
        <f>VLOOKUP($A34,[0]!Data,144,FALSE)</f>
        <v>193495</v>
      </c>
      <c r="J34" s="319">
        <f>I34/'Table  4'!M34</f>
        <v>0.14092277305312162</v>
      </c>
      <c r="K34" s="321">
        <f>I34/'Table 1'!D34</f>
        <v>3.1324569781936509</v>
      </c>
      <c r="L34" s="228">
        <f>VLOOKUP($A34,[0]!Data,145,FALSE)</f>
        <v>1323373</v>
      </c>
      <c r="M34" s="322">
        <f>L34/'Table 1'!D34</f>
        <v>21.423855854689094</v>
      </c>
    </row>
    <row r="35" spans="1:13" x14ac:dyDescent="0.2">
      <c r="A35" s="40" t="s">
        <v>1268</v>
      </c>
      <c r="B35" s="40" t="s">
        <v>1953</v>
      </c>
      <c r="C35" s="228">
        <f>VLOOKUP($A35,[0]!Data,139,FALSE)</f>
        <v>2183733</v>
      </c>
      <c r="D35" s="248">
        <f>C35/'Table  4'!M35</f>
        <v>0.70974461345553008</v>
      </c>
      <c r="E35" s="158">
        <f>C35/'Table 1'!D35</f>
        <v>19.091078375661144</v>
      </c>
      <c r="F35" s="228">
        <f>VLOOKUP($A35,[0]!Data,143,FALSE)</f>
        <v>472382</v>
      </c>
      <c r="G35" s="319">
        <f>F35/'Table  4'!M35</f>
        <v>0.15353093990581734</v>
      </c>
      <c r="H35" s="320">
        <f>F35/'Table 1'!D35</f>
        <v>4.1297547755387507</v>
      </c>
      <c r="I35" s="228">
        <f>VLOOKUP($A35,[0]!Data,144,FALSE)</f>
        <v>284278</v>
      </c>
      <c r="J35" s="319">
        <f>I35/'Table  4'!M35</f>
        <v>9.2394436143938469E-2</v>
      </c>
      <c r="K35" s="321">
        <f>I35/'Table 1'!D35</f>
        <v>2.485273418717489</v>
      </c>
      <c r="L35" s="228">
        <f>VLOOKUP($A35,[0]!Data,145,FALSE)</f>
        <v>2940393</v>
      </c>
      <c r="M35" s="322">
        <f>L35/'Table 1'!D35</f>
        <v>25.706106569917385</v>
      </c>
    </row>
    <row r="36" spans="1:13" x14ac:dyDescent="0.2">
      <c r="A36" s="40" t="s">
        <v>1328</v>
      </c>
      <c r="B36" s="40" t="s">
        <v>1954</v>
      </c>
      <c r="C36" s="228">
        <f>VLOOKUP($A36,[0]!Data,139,FALSE)</f>
        <v>1643240</v>
      </c>
      <c r="D36" s="248">
        <f>C36/'Table  4'!M36</f>
        <v>0.72317428463292055</v>
      </c>
      <c r="E36" s="158">
        <f>C36/'Table 1'!D36</f>
        <v>12.233496869486238</v>
      </c>
      <c r="F36" s="228">
        <f>VLOOKUP($A36,[0]!Data,143,FALSE)</f>
        <v>323505</v>
      </c>
      <c r="G36" s="319">
        <f>F36/'Table  4'!M36</f>
        <v>0.14237147157455574</v>
      </c>
      <c r="H36" s="320">
        <f>F36/'Table 1'!D36</f>
        <v>2.4084110688415237</v>
      </c>
      <c r="I36" s="228">
        <f>VLOOKUP($A36,[0]!Data,144,FALSE)</f>
        <v>157155</v>
      </c>
      <c r="J36" s="319">
        <f>I36/'Table  4'!M36</f>
        <v>6.9162419793509552E-2</v>
      </c>
      <c r="K36" s="321">
        <f>I36/'Table 1'!D36</f>
        <v>1.169978335802506</v>
      </c>
      <c r="L36" s="228">
        <f>VLOOKUP($A36,[0]!Data,145,FALSE)</f>
        <v>2123900</v>
      </c>
      <c r="M36" s="322">
        <f>L36/'Table 1'!D36</f>
        <v>15.811886274130268</v>
      </c>
    </row>
    <row r="37" spans="1:13" x14ac:dyDescent="0.2">
      <c r="A37" s="40" t="s">
        <v>1585</v>
      </c>
      <c r="B37" s="40" t="s">
        <v>1316</v>
      </c>
      <c r="C37" s="228">
        <f>VLOOKUP($A37,[0]!Data,139,FALSE)</f>
        <v>1051154</v>
      </c>
      <c r="D37" s="248">
        <f>C37/'Table  4'!M37</f>
        <v>0.71914394044089169</v>
      </c>
      <c r="E37" s="158">
        <f>C37/'Table 1'!D37</f>
        <v>6.1820587768256754</v>
      </c>
      <c r="F37" s="228">
        <f>VLOOKUP($A37,[0]!Data,143,FALSE)</f>
        <v>93874</v>
      </c>
      <c r="G37" s="319">
        <f>F37/'Table  4'!M37</f>
        <v>6.4223623051378076E-2</v>
      </c>
      <c r="H37" s="320">
        <f>F37/'Table 1'!D37</f>
        <v>0.55209282903906887</v>
      </c>
      <c r="I37" s="228">
        <f>VLOOKUP($A37,[0]!Data,144,FALSE)</f>
        <v>316646</v>
      </c>
      <c r="J37" s="319">
        <f>I37/'Table  4'!M37</f>
        <v>0.21663243650773018</v>
      </c>
      <c r="K37" s="321">
        <f>I37/'Table 1'!D37</f>
        <v>1.8622620314880052</v>
      </c>
      <c r="L37" s="228">
        <f>VLOOKUP($A37,[0]!Data,145,FALSE)</f>
        <v>1461674</v>
      </c>
      <c r="M37" s="322">
        <f>L37/'Table 1'!D37</f>
        <v>8.5964136373527484</v>
      </c>
    </row>
    <row r="38" spans="1:13" x14ac:dyDescent="0.2">
      <c r="A38" s="40" t="s">
        <v>1352</v>
      </c>
      <c r="B38" s="40" t="s">
        <v>1955</v>
      </c>
      <c r="C38" s="228">
        <f>VLOOKUP($A38,[0]!Data,139,FALSE)</f>
        <v>442952</v>
      </c>
      <c r="D38" s="248">
        <f>C38/'Table  4'!M38</f>
        <v>0.73233484720979947</v>
      </c>
      <c r="E38" s="158">
        <f>C38/'Table 1'!D38</f>
        <v>7.4767402606171087</v>
      </c>
      <c r="F38" s="228">
        <f>VLOOKUP($A38,[0]!Data,143,FALSE)</f>
        <v>88994</v>
      </c>
      <c r="G38" s="319">
        <f>F38/'Table  4'!M38</f>
        <v>0.14713424342273856</v>
      </c>
      <c r="H38" s="320">
        <f>F38/'Table 1'!D38</f>
        <v>1.5021605563432583</v>
      </c>
      <c r="I38" s="228">
        <f>VLOOKUP($A38,[0]!Data,144,FALSE)</f>
        <v>72903</v>
      </c>
      <c r="J38" s="319">
        <f>I38/'Table  4'!M38</f>
        <v>0.12053090936746196</v>
      </c>
      <c r="K38" s="321">
        <f>I38/'Table 1'!D38</f>
        <v>1.2305549929106745</v>
      </c>
      <c r="L38" s="228">
        <f>VLOOKUP($A38,[0]!Data,145,FALSE)</f>
        <v>604849</v>
      </c>
      <c r="M38" s="322">
        <f>L38/'Table 1'!D38</f>
        <v>10.209455809871042</v>
      </c>
    </row>
    <row r="39" spans="1:13" x14ac:dyDescent="0.2">
      <c r="A39" s="40" t="s">
        <v>1365</v>
      </c>
      <c r="B39" s="40" t="s">
        <v>1956</v>
      </c>
      <c r="C39" s="228">
        <f>VLOOKUP($A39,[0]!Data,139,FALSE)</f>
        <v>772563</v>
      </c>
      <c r="D39" s="248">
        <f>C39/'Table  4'!M39</f>
        <v>0.55475187918094426</v>
      </c>
      <c r="E39" s="158">
        <f>C39/'Table 1'!D39</f>
        <v>9.417709945997343</v>
      </c>
      <c r="F39" s="228">
        <f>VLOOKUP($A39,[0]!Data,143,FALSE)</f>
        <v>261424</v>
      </c>
      <c r="G39" s="319">
        <f>F39/'Table  4'!M39</f>
        <v>0.18771990797255261</v>
      </c>
      <c r="H39" s="320">
        <f>F39/'Table 1'!D39</f>
        <v>3.1868150622310534</v>
      </c>
      <c r="I39" s="228">
        <f>VLOOKUP($A39,[0]!Data,144,FALSE)</f>
        <v>293547</v>
      </c>
      <c r="J39" s="319">
        <f>I39/'Table  4'!M39</f>
        <v>0.21078636936784267</v>
      </c>
      <c r="K39" s="321">
        <f>I39/'Table 1'!D39</f>
        <v>3.5784013750563797</v>
      </c>
      <c r="L39" s="228">
        <f>VLOOKUP($A39,[0]!Data,145,FALSE)</f>
        <v>1327534</v>
      </c>
      <c r="M39" s="322">
        <f>L39/'Table 1'!D39</f>
        <v>16.182926383284777</v>
      </c>
    </row>
    <row r="40" spans="1:13" x14ac:dyDescent="0.2">
      <c r="A40" s="40" t="s">
        <v>1383</v>
      </c>
      <c r="B40" s="40" t="s">
        <v>1957</v>
      </c>
      <c r="C40" s="228">
        <f>VLOOKUP($A40,[0]!Data,139,FALSE)</f>
        <v>309514</v>
      </c>
      <c r="D40" s="248">
        <f>C40/'Table  4'!M40</f>
        <v>0.60513766992455187</v>
      </c>
      <c r="E40" s="158">
        <f>C40/'Table 1'!D40</f>
        <v>14.082260339414896</v>
      </c>
      <c r="F40" s="228">
        <f>VLOOKUP($A40,[0]!Data,143,FALSE)</f>
        <v>43375</v>
      </c>
      <c r="G40" s="319">
        <f>F40/'Table  4'!M40</f>
        <v>8.4803422245770588E-2</v>
      </c>
      <c r="H40" s="320">
        <f>F40/'Table 1'!D40</f>
        <v>1.9734746803767231</v>
      </c>
      <c r="I40" s="228">
        <f>VLOOKUP($A40,[0]!Data,144,FALSE)</f>
        <v>158882</v>
      </c>
      <c r="J40" s="319">
        <f>I40/'Table  4'!M40</f>
        <v>0.31063371373492843</v>
      </c>
      <c r="K40" s="321">
        <f>I40/'Table 1'!D40</f>
        <v>7.2288093179853501</v>
      </c>
      <c r="L40" s="228">
        <f>VLOOKUP($A40,[0]!Data,145,FALSE)</f>
        <v>511771</v>
      </c>
      <c r="M40" s="322">
        <f>L40/'Table 1'!D40</f>
        <v>23.284544337776968</v>
      </c>
    </row>
    <row r="41" spans="1:13" x14ac:dyDescent="0.2">
      <c r="A41" s="40" t="s">
        <v>1397</v>
      </c>
      <c r="B41" s="40" t="s">
        <v>1958</v>
      </c>
      <c r="C41" s="228">
        <f>VLOOKUP($A41,[0]!Data,139,FALSE)</f>
        <v>520207</v>
      </c>
      <c r="D41" s="248">
        <f>C41/'Table  4'!M41</f>
        <v>0.62355874402910383</v>
      </c>
      <c r="E41" s="158">
        <f>C41/'Table 1'!D41</f>
        <v>11.430608657437926</v>
      </c>
      <c r="F41" s="228">
        <f>VLOOKUP($A41,[0]!Data,143,FALSE)</f>
        <v>77413</v>
      </c>
      <c r="G41" s="319">
        <f>F41/'Table  4'!M41</f>
        <v>9.2792970974102648E-2</v>
      </c>
      <c r="H41" s="320">
        <f>F41/'Table 1'!D41</f>
        <v>1.7010107668644254</v>
      </c>
      <c r="I41" s="228">
        <f>VLOOKUP($A41,[0]!Data,144,FALSE)</f>
        <v>162000</v>
      </c>
      <c r="J41" s="319">
        <f>I41/'Table  4'!M41</f>
        <v>0.19418523113436539</v>
      </c>
      <c r="K41" s="321">
        <f>I41/'Table 1'!D41</f>
        <v>3.5596572181938035</v>
      </c>
      <c r="L41" s="228">
        <f>VLOOKUP($A41,[0]!Data,145,FALSE)</f>
        <v>759620</v>
      </c>
      <c r="M41" s="322">
        <f>L41/'Table 1'!D41</f>
        <v>16.691276642496156</v>
      </c>
    </row>
    <row r="42" spans="1:13" x14ac:dyDescent="0.2">
      <c r="A42" s="40" t="s">
        <v>915</v>
      </c>
      <c r="B42" s="40" t="s">
        <v>1959</v>
      </c>
      <c r="C42" s="228">
        <f>VLOOKUP($A42,[0]!Data,139,FALSE)</f>
        <v>26138127</v>
      </c>
      <c r="D42" s="248">
        <f>C42/'Table  4'!M42</f>
        <v>0.65698023911169501</v>
      </c>
      <c r="E42" s="158">
        <f>C42/'Table 1'!D42</f>
        <v>24.809692039732521</v>
      </c>
      <c r="F42" s="228">
        <f>VLOOKUP($A42,[0]!Data,143,FALSE)</f>
        <v>4006293</v>
      </c>
      <c r="G42" s="319">
        <f>F42/'Table  4'!M42</f>
        <v>0.10069793191729116</v>
      </c>
      <c r="H42" s="320">
        <f>F42/'Table 1'!D42</f>
        <v>3.8026785756659658</v>
      </c>
      <c r="I42" s="228">
        <f>VLOOKUP($A42,[0]!Data,144,FALSE)</f>
        <v>9310955</v>
      </c>
      <c r="J42" s="319">
        <f>I42/'Table  4'!M42</f>
        <v>0.23403029001497438</v>
      </c>
      <c r="K42" s="321">
        <f>I42/'Table 1'!D42</f>
        <v>8.8377383025879297</v>
      </c>
      <c r="L42" s="228">
        <f>VLOOKUP($A42,[0]!Data,145,FALSE)</f>
        <v>39455375</v>
      </c>
      <c r="M42" s="322">
        <f>L42/'Table 1'!D42</f>
        <v>37.450108917986419</v>
      </c>
    </row>
    <row r="43" spans="1:13" x14ac:dyDescent="0.2">
      <c r="A43" s="40" t="s">
        <v>789</v>
      </c>
      <c r="B43" s="40" t="s">
        <v>1960</v>
      </c>
      <c r="C43" s="228">
        <f>VLOOKUP($A43,[0]!Data,139,FALSE)</f>
        <v>1338807</v>
      </c>
      <c r="D43" s="248">
        <f>C43/'Table  4'!M43</f>
        <v>0.62711993816895806</v>
      </c>
      <c r="E43" s="158">
        <f>C43/'Table 1'!D43</f>
        <v>15.010729902455433</v>
      </c>
      <c r="F43" s="228">
        <f>VLOOKUP($A43,[0]!Data,143,FALSE)</f>
        <v>124904</v>
      </c>
      <c r="G43" s="319">
        <f>F43/'Table  4'!M43</f>
        <v>5.8507155069442818E-2</v>
      </c>
      <c r="H43" s="320">
        <f>F43/'Table 1'!D43</f>
        <v>1.4004260567328175</v>
      </c>
      <c r="I43" s="228">
        <f>VLOOKUP($A43,[0]!Data,144,FALSE)</f>
        <v>592092</v>
      </c>
      <c r="J43" s="319">
        <f>I43/'Table  4'!M43</f>
        <v>0.27734594936412393</v>
      </c>
      <c r="K43" s="321">
        <f>I43/'Table 1'!D43</f>
        <v>6.6385469223007068</v>
      </c>
      <c r="L43" s="228">
        <f>VLOOKUP($A43,[0]!Data,145,FALSE)</f>
        <v>2055803</v>
      </c>
      <c r="M43" s="322">
        <f>L43/'Table 1'!D43</f>
        <v>23.049702881488955</v>
      </c>
    </row>
    <row r="44" spans="1:13" x14ac:dyDescent="0.2">
      <c r="A44" s="40" t="s">
        <v>1456</v>
      </c>
      <c r="B44" s="40" t="s">
        <v>1961</v>
      </c>
      <c r="C44" s="228">
        <f>VLOOKUP($A44,[0]!Data,139,FALSE)</f>
        <v>3089763</v>
      </c>
      <c r="D44" s="248">
        <f>C44/'Table  4'!M44</f>
        <v>0.74197025743780176</v>
      </c>
      <c r="E44" s="158">
        <f>C44/'Table 1'!D44</f>
        <v>13.817765911774176</v>
      </c>
      <c r="F44" s="228">
        <f>VLOOKUP($A44,[0]!Data,143,FALSE)</f>
        <v>657898</v>
      </c>
      <c r="G44" s="319">
        <f>F44/'Table  4'!M44</f>
        <v>0.15798646965084859</v>
      </c>
      <c r="H44" s="320">
        <f>F44/'Table 1'!D44</f>
        <v>2.9421934814496797</v>
      </c>
      <c r="I44" s="228">
        <f>VLOOKUP($A44,[0]!Data,144,FALSE)</f>
        <v>416607</v>
      </c>
      <c r="J44" s="319">
        <f>I44/'Table  4'!M44</f>
        <v>0.10004327291134961</v>
      </c>
      <c r="K44" s="321">
        <f>I44/'Table 1'!D44</f>
        <v>1.8631131265428786</v>
      </c>
      <c r="L44" s="228">
        <f>VLOOKUP($A44,[0]!Data,145,FALSE)</f>
        <v>4164268</v>
      </c>
      <c r="M44" s="322">
        <f>L44/'Table 1'!D44</f>
        <v>18.623072519766733</v>
      </c>
    </row>
    <row r="45" spans="1:13" x14ac:dyDescent="0.2">
      <c r="A45" s="40" t="s">
        <v>1489</v>
      </c>
      <c r="B45" s="40" t="s">
        <v>1962</v>
      </c>
      <c r="C45" s="228">
        <f>VLOOKUP($A45,[0]!Data,139,FALSE)</f>
        <v>1552672</v>
      </c>
      <c r="D45" s="248">
        <f>C45/'Table  4'!M45</f>
        <v>0.68652998311389657</v>
      </c>
      <c r="E45" s="158">
        <f>C45/'Table 1'!D45</f>
        <v>8.0070134183194615</v>
      </c>
      <c r="F45" s="228">
        <f>VLOOKUP($A45,[0]!Data,143,FALSE)</f>
        <v>196850</v>
      </c>
      <c r="G45" s="319">
        <f>F45/'Table  4'!M45</f>
        <v>8.7039263396242433E-2</v>
      </c>
      <c r="H45" s="320">
        <f>F45/'Table 1'!D45</f>
        <v>1.0151407324896604</v>
      </c>
      <c r="I45" s="228">
        <f>VLOOKUP($A45,[0]!Data,144,FALSE)</f>
        <v>476547</v>
      </c>
      <c r="J45" s="319">
        <f>I45/'Table  4'!M45</f>
        <v>0.2107101846771102</v>
      </c>
      <c r="K45" s="321">
        <f>I45/'Table 1'!D45</f>
        <v>2.4575172499149107</v>
      </c>
      <c r="L45" s="228">
        <f>VLOOKUP($A45,[0]!Data,145,FALSE)</f>
        <v>2226069</v>
      </c>
      <c r="M45" s="322">
        <f>L45/'Table 1'!D45</f>
        <v>11.479671400724031</v>
      </c>
    </row>
    <row r="46" spans="1:13" x14ac:dyDescent="0.2">
      <c r="A46" s="40" t="s">
        <v>1501</v>
      </c>
      <c r="B46" s="40" t="s">
        <v>1516</v>
      </c>
      <c r="C46" s="228">
        <f>VLOOKUP($A46,[0]!Data,139,FALSE)</f>
        <v>1837020</v>
      </c>
      <c r="D46" s="248">
        <f>C46/'Table  4'!M46</f>
        <v>0.78515261371339373</v>
      </c>
      <c r="E46" s="158">
        <f>C46/'Table 1'!D46</f>
        <v>21.827449768895331</v>
      </c>
      <c r="F46" s="228">
        <f>VLOOKUP($A46,[0]!Data,143,FALSE)</f>
        <v>236198</v>
      </c>
      <c r="G46" s="319">
        <f>F46/'Table  4'!M46</f>
        <v>0.10095234513172213</v>
      </c>
      <c r="H46" s="320">
        <f>F46/'Table 1'!D46</f>
        <v>2.8065018238851724</v>
      </c>
      <c r="I46" s="228">
        <f>VLOOKUP($A46,[0]!Data,144,FALSE)</f>
        <v>234417</v>
      </c>
      <c r="J46" s="319">
        <f>I46/'Table  4'!M46</f>
        <v>0.10019113577906208</v>
      </c>
      <c r="K46" s="321">
        <f>I46/'Table 1'!D46</f>
        <v>2.785340003089317</v>
      </c>
      <c r="L46" s="228">
        <f>VLOOKUP($A46,[0]!Data,145,FALSE)</f>
        <v>2307635</v>
      </c>
      <c r="M46" s="322">
        <f>L46/'Table 1'!D46</f>
        <v>27.419291595869822</v>
      </c>
    </row>
    <row r="47" spans="1:13" x14ac:dyDescent="0.2">
      <c r="A47" s="40" t="s">
        <v>1518</v>
      </c>
      <c r="B47" s="40" t="s">
        <v>1963</v>
      </c>
      <c r="C47" s="228">
        <f>VLOOKUP($A47,[0]!Data,139,FALSE)</f>
        <v>622646</v>
      </c>
      <c r="D47" s="248">
        <f>C47/'Table  4'!M47</f>
        <v>0.76597247082298436</v>
      </c>
      <c r="E47" s="158">
        <f>C47/'Table 1'!D47</f>
        <v>10.471854555239744</v>
      </c>
      <c r="F47" s="228">
        <f>VLOOKUP($A47,[0]!Data,143,FALSE)</f>
        <v>81523</v>
      </c>
      <c r="G47" s="319">
        <f>F47/'Table  4'!M47</f>
        <v>0.10028872543773212</v>
      </c>
      <c r="H47" s="320">
        <f>F47/'Table 1'!D47</f>
        <v>1.3710792310667854</v>
      </c>
      <c r="I47" s="228">
        <f>VLOOKUP($A47,[0]!Data,144,FALSE)</f>
        <v>87767</v>
      </c>
      <c r="J47" s="319">
        <f>I47/'Table  4'!M47</f>
        <v>0.10797002766695822</v>
      </c>
      <c r="K47" s="321">
        <f>I47/'Table 1'!D47</f>
        <v>1.4760927698077666</v>
      </c>
      <c r="L47" s="228">
        <f>VLOOKUP($A47,[0]!Data,145,FALSE)</f>
        <v>791936</v>
      </c>
      <c r="M47" s="322">
        <f>L47/'Table 1'!D47</f>
        <v>13.319026556114297</v>
      </c>
    </row>
    <row r="48" spans="1:13" x14ac:dyDescent="0.2">
      <c r="A48" s="40" t="s">
        <v>1544</v>
      </c>
      <c r="B48" s="40" t="s">
        <v>1964</v>
      </c>
      <c r="C48" s="228">
        <f>VLOOKUP($A48,[0]!Data,139,FALSE)</f>
        <v>420230</v>
      </c>
      <c r="D48" s="248">
        <f>C48/'Table  4'!M48</f>
        <v>0.78798049878117382</v>
      </c>
      <c r="E48" s="158">
        <f>C48/'Table 1'!D48</f>
        <v>10.577678211840515</v>
      </c>
      <c r="F48" s="228">
        <f>VLOOKUP($A48,[0]!Data,143,FALSE)</f>
        <v>82171</v>
      </c>
      <c r="G48" s="319">
        <f>F48/'Table  4'!M48</f>
        <v>0.1540802550159385</v>
      </c>
      <c r="H48" s="320">
        <f>F48/'Table 1'!D48</f>
        <v>2.0683397100281917</v>
      </c>
      <c r="I48" s="228">
        <f>VLOOKUP($A48,[0]!Data,144,FALSE)</f>
        <v>45156</v>
      </c>
      <c r="J48" s="319">
        <f>I48/'Table  4'!M48</f>
        <v>8.4672792049503093E-2</v>
      </c>
      <c r="K48" s="321">
        <f>I48/'Table 1'!D48</f>
        <v>1.1366290777285541</v>
      </c>
      <c r="L48" s="228">
        <f>VLOOKUP($A48,[0]!Data,145,FALSE)</f>
        <v>547557</v>
      </c>
      <c r="M48" s="322">
        <f>L48/'Table 1'!D48</f>
        <v>13.782646999597262</v>
      </c>
    </row>
    <row r="49" spans="1:13" x14ac:dyDescent="0.2">
      <c r="A49" s="40" t="s">
        <v>1727</v>
      </c>
      <c r="B49" s="40" t="s">
        <v>1965</v>
      </c>
      <c r="C49" s="228">
        <f>VLOOKUP($A49,[0]!Data,139,FALSE)</f>
        <v>1464506</v>
      </c>
      <c r="D49" s="248">
        <f>C49/'Table  4'!M49</f>
        <v>0.62717298811909261</v>
      </c>
      <c r="E49" s="158">
        <f>C49/'Table 1'!D49</f>
        <v>8.5536080366790301</v>
      </c>
      <c r="F49" s="228">
        <f>VLOOKUP($A49,[0]!Data,143,FALSE)</f>
        <v>292701</v>
      </c>
      <c r="G49" s="319">
        <f>F49/'Table  4'!M49</f>
        <v>0.12534886220708316</v>
      </c>
      <c r="H49" s="320">
        <f>F49/'Table 1'!D49</f>
        <v>1.7095523172619222</v>
      </c>
      <c r="I49" s="228">
        <f>VLOOKUP($A49,[0]!Data,144,FALSE)</f>
        <v>500927</v>
      </c>
      <c r="J49" s="319">
        <f>I49/'Table  4'!M49</f>
        <v>0.21452140409088982</v>
      </c>
      <c r="K49" s="321">
        <f>I49/'Table 1'!D49</f>
        <v>2.9257191250766579</v>
      </c>
      <c r="L49" s="228">
        <f>VLOOKUP($A49,[0]!Data,145,FALSE)</f>
        <v>2258134</v>
      </c>
      <c r="M49" s="322">
        <f>L49/'Table 1'!D49</f>
        <v>13.18887947901761</v>
      </c>
    </row>
    <row r="50" spans="1:13" x14ac:dyDescent="0.2">
      <c r="A50" s="40" t="s">
        <v>1573</v>
      </c>
      <c r="B50" s="40" t="s">
        <v>1966</v>
      </c>
      <c r="C50" s="228">
        <f>VLOOKUP($A50,[0]!Data,139,FALSE)</f>
        <v>402394</v>
      </c>
      <c r="D50" s="248">
        <f>C50/'Table  4'!M50</f>
        <v>0.68491896252974438</v>
      </c>
      <c r="E50" s="158">
        <f>C50/'Table 1'!D50</f>
        <v>19.134284355682357</v>
      </c>
      <c r="F50" s="228">
        <f>VLOOKUP($A50,[0]!Data,143,FALSE)</f>
        <v>66552</v>
      </c>
      <c r="G50" s="319">
        <f>F50/'Table  4'!M50</f>
        <v>0.11327884310968739</v>
      </c>
      <c r="H50" s="320">
        <f>F50/'Table 1'!D50</f>
        <v>3.1646219686162627</v>
      </c>
      <c r="I50" s="228">
        <f>VLOOKUP($A50,[0]!Data,144,FALSE)</f>
        <v>89742</v>
      </c>
      <c r="J50" s="319">
        <f>I50/'Table  4'!M50</f>
        <v>0.15275078041756168</v>
      </c>
      <c r="K50" s="321">
        <f>I50/'Table 1'!D50</f>
        <v>4.2673323823109843</v>
      </c>
      <c r="L50" s="228">
        <f>VLOOKUP($A50,[0]!Data,145,FALSE)</f>
        <v>558688</v>
      </c>
      <c r="M50" s="322">
        <f>L50/'Table 1'!D50</f>
        <v>26.566238706609607</v>
      </c>
    </row>
    <row r="51" spans="1:13" x14ac:dyDescent="0.2">
      <c r="A51" s="40" t="s">
        <v>1597</v>
      </c>
      <c r="B51" s="40" t="s">
        <v>1967</v>
      </c>
      <c r="C51" s="228">
        <f>VLOOKUP($A51,[0]!Data,139,FALSE)</f>
        <v>2165313</v>
      </c>
      <c r="D51" s="248">
        <f>C51/'Table  4'!M51</f>
        <v>0.72566297240868527</v>
      </c>
      <c r="E51" s="158">
        <f>C51/'Table 1'!D51</f>
        <v>15.068183241591916</v>
      </c>
      <c r="F51" s="228">
        <f>VLOOKUP($A51,[0]!Data,143,FALSE)</f>
        <v>253084</v>
      </c>
      <c r="G51" s="319">
        <f>F51/'Table  4'!M51</f>
        <v>8.4816231052545155E-2</v>
      </c>
      <c r="H51" s="320">
        <f>F51/'Table 1'!D51</f>
        <v>1.761184682082936</v>
      </c>
      <c r="I51" s="228">
        <f>VLOOKUP($A51,[0]!Data,144,FALSE)</f>
        <v>532902</v>
      </c>
      <c r="J51" s="319">
        <f>I51/'Table  4'!M51</f>
        <v>0.17859184760934479</v>
      </c>
      <c r="K51" s="321">
        <f>I51/'Table 1'!D51</f>
        <v>3.7084084313957453</v>
      </c>
      <c r="L51" s="228">
        <f>VLOOKUP($A51,[0]!Data,145,FALSE)</f>
        <v>2951299</v>
      </c>
      <c r="M51" s="322">
        <f>L51/'Table 1'!D51</f>
        <v>20.537776355070598</v>
      </c>
    </row>
    <row r="52" spans="1:13" x14ac:dyDescent="0.2">
      <c r="A52" s="40" t="s">
        <v>1625</v>
      </c>
      <c r="B52" s="40" t="s">
        <v>1968</v>
      </c>
      <c r="C52" s="228">
        <f>VLOOKUP($A52,[0]!Data,139,FALSE)</f>
        <v>794670</v>
      </c>
      <c r="D52" s="248">
        <f>C52/'Table  4'!M52</f>
        <v>0.63108866308504175</v>
      </c>
      <c r="E52" s="158">
        <f>C52/'Table 1'!D52</f>
        <v>5.9904113616318773</v>
      </c>
      <c r="F52" s="228">
        <f>VLOOKUP($A52,[0]!Data,143,FALSE)</f>
        <v>103441</v>
      </c>
      <c r="G52" s="319">
        <f>F52/'Table  4'!M52</f>
        <v>8.2147863135867472E-2</v>
      </c>
      <c r="H52" s="320">
        <f>F52/'Table 1'!D52</f>
        <v>0.77976284704161858</v>
      </c>
      <c r="I52" s="228">
        <f>VLOOKUP($A52,[0]!Data,144,FALSE)</f>
        <v>280050</v>
      </c>
      <c r="J52" s="319">
        <f>I52/'Table  4'!M52</f>
        <v>0.22240222997843878</v>
      </c>
      <c r="K52" s="321">
        <f>I52/'Table 1'!D52</f>
        <v>2.1110834709061717</v>
      </c>
      <c r="L52" s="228">
        <f>VLOOKUP($A52,[0]!Data,145,FALSE)</f>
        <v>1178161</v>
      </c>
      <c r="M52" s="322">
        <f>L52/'Table 1'!D52</f>
        <v>8.8812576795796687</v>
      </c>
    </row>
    <row r="53" spans="1:13" x14ac:dyDescent="0.2">
      <c r="A53" s="40" t="s">
        <v>1638</v>
      </c>
      <c r="B53" s="40" t="s">
        <v>1969</v>
      </c>
      <c r="C53" s="228">
        <f>VLOOKUP($A53,[0]!Data,139,FALSE)</f>
        <v>1405258</v>
      </c>
      <c r="D53" s="248">
        <f>C53/'Table  4'!M53</f>
        <v>0.74136729455894101</v>
      </c>
      <c r="E53" s="158">
        <f>C53/'Table 1'!D53</f>
        <v>15.292661958189594</v>
      </c>
      <c r="F53" s="228">
        <f>VLOOKUP($A53,[0]!Data,143,FALSE)</f>
        <v>213908</v>
      </c>
      <c r="G53" s="319">
        <f>F53/'Table  4'!M53</f>
        <v>0.11285073292200717</v>
      </c>
      <c r="H53" s="320">
        <f>F53/'Table 1'!D53</f>
        <v>2.3278449467303655</v>
      </c>
      <c r="I53" s="228">
        <f>VLOOKUP($A53,[0]!Data,144,FALSE)</f>
        <v>276330</v>
      </c>
      <c r="J53" s="319">
        <f>I53/'Table  4'!M53</f>
        <v>0.14578250008572957</v>
      </c>
      <c r="K53" s="321">
        <f>I53/'Table 1'!D53</f>
        <v>3.0071497752772305</v>
      </c>
      <c r="L53" s="228">
        <f>VLOOKUP($A53,[0]!Data,145,FALSE)</f>
        <v>1895496</v>
      </c>
      <c r="M53" s="322">
        <f>L53/'Table 1'!D53</f>
        <v>20.627656680197191</v>
      </c>
    </row>
    <row r="54" spans="1:13" x14ac:dyDescent="0.2">
      <c r="A54" s="40" t="s">
        <v>1655</v>
      </c>
      <c r="B54" s="40" t="s">
        <v>1970</v>
      </c>
      <c r="C54" s="228">
        <f>VLOOKUP($A54,[0]!Data,139,FALSE)</f>
        <v>2128234</v>
      </c>
      <c r="D54" s="248">
        <f>C54/'Table  4'!M54</f>
        <v>0.55867664893868363</v>
      </c>
      <c r="E54" s="158">
        <f>C54/'Table 1'!D54</f>
        <v>15.097070298645102</v>
      </c>
      <c r="F54" s="228">
        <f>VLOOKUP($A54,[0]!Data,143,FALSE)</f>
        <v>290956</v>
      </c>
      <c r="G54" s="319">
        <f>F54/'Table  4'!M54</f>
        <v>7.6378031301352955E-2</v>
      </c>
      <c r="H54" s="320">
        <f>F54/'Table 1'!D54</f>
        <v>2.0639568702560829</v>
      </c>
      <c r="I54" s="228">
        <f>VLOOKUP($A54,[0]!Data,144,FALSE)</f>
        <v>789540</v>
      </c>
      <c r="J54" s="319">
        <f>I54/'Table  4'!M54</f>
        <v>0.20725989783221593</v>
      </c>
      <c r="K54" s="321">
        <f>I54/'Table 1'!D54</f>
        <v>5.6007661204511594</v>
      </c>
      <c r="L54" s="228">
        <f>VLOOKUP($A54,[0]!Data,145,FALSE)</f>
        <v>3208730</v>
      </c>
      <c r="M54" s="322">
        <f>L54/'Table 1'!D54</f>
        <v>22.761793289352344</v>
      </c>
    </row>
    <row r="55" spans="1:13" x14ac:dyDescent="0.2">
      <c r="A55" s="40" t="s">
        <v>1671</v>
      </c>
      <c r="B55" s="40" t="s">
        <v>1971</v>
      </c>
      <c r="C55" s="228">
        <f>VLOOKUP($A55,[0]!Data,139,FALSE)</f>
        <v>456920</v>
      </c>
      <c r="D55" s="248">
        <f>C55/'Table  4'!M55</f>
        <v>0.74427726494557034</v>
      </c>
      <c r="E55" s="158">
        <f>C55/'Table 1'!D55</f>
        <v>6.7488885278348079</v>
      </c>
      <c r="F55" s="228">
        <f>VLOOKUP($A55,[0]!Data,143,FALSE)</f>
        <v>77433</v>
      </c>
      <c r="G55" s="319">
        <f>F55/'Table  4'!M55</f>
        <v>0.12613066063321882</v>
      </c>
      <c r="H55" s="320">
        <f>F55/'Table 1'!D55</f>
        <v>1.143715935778326</v>
      </c>
      <c r="I55" s="228">
        <f>VLOOKUP($A55,[0]!Data,144,FALSE)</f>
        <v>67875</v>
      </c>
      <c r="J55" s="319">
        <f>I55/'Table  4'!M55</f>
        <v>0.11056162863998202</v>
      </c>
      <c r="K55" s="321">
        <f>I55/'Table 1'!D55</f>
        <v>1.0025405078061533</v>
      </c>
      <c r="L55" s="228">
        <f>VLOOKUP($A55,[0]!Data,145,FALSE)</f>
        <v>602228</v>
      </c>
      <c r="M55" s="322">
        <f>L55/'Table 1'!D55</f>
        <v>8.8951449714192865</v>
      </c>
    </row>
    <row r="56" spans="1:13" x14ac:dyDescent="0.2">
      <c r="A56" s="40" t="s">
        <v>1683</v>
      </c>
      <c r="B56" s="40" t="s">
        <v>1972</v>
      </c>
      <c r="C56" s="228">
        <f>VLOOKUP($A56,[0]!Data,139,FALSE)</f>
        <v>567543</v>
      </c>
      <c r="D56" s="248">
        <f>C56/'Table  4'!M56</f>
        <v>0.67505254306033147</v>
      </c>
      <c r="E56" s="158">
        <f>C56/'Table 1'!D56</f>
        <v>8.9378257925321662</v>
      </c>
      <c r="F56" s="228">
        <f>VLOOKUP($A56,[0]!Data,143,FALSE)</f>
        <v>113726</v>
      </c>
      <c r="G56" s="319">
        <f>F56/'Table  4'!M56</f>
        <v>0.13526909064525375</v>
      </c>
      <c r="H56" s="320">
        <f>F56/'Table 1'!D56</f>
        <v>1.7909888344698341</v>
      </c>
      <c r="I56" s="228">
        <f>VLOOKUP($A56,[0]!Data,144,FALSE)</f>
        <v>92129</v>
      </c>
      <c r="J56" s="319">
        <f>I56/'Table  4'!M56</f>
        <v>0.1095809757843992</v>
      </c>
      <c r="K56" s="321">
        <f>I56/'Table 1'!D56</f>
        <v>1.4508732420983008</v>
      </c>
      <c r="L56" s="228">
        <f>VLOOKUP($A56,[0]!Data,145,FALSE)</f>
        <v>773398</v>
      </c>
      <c r="M56" s="322">
        <f>L56/'Table 1'!D56</f>
        <v>12.179687869100301</v>
      </c>
    </row>
    <row r="57" spans="1:13" x14ac:dyDescent="0.2">
      <c r="A57" s="40" t="s">
        <v>1714</v>
      </c>
      <c r="B57" s="40" t="s">
        <v>1973</v>
      </c>
      <c r="C57" s="228">
        <f>VLOOKUP($A57,[0]!Data,139,FALSE)</f>
        <v>283598</v>
      </c>
      <c r="D57" s="248">
        <f>C57/'Table  4'!M57</f>
        <v>0.56963746618004774</v>
      </c>
      <c r="E57" s="158">
        <f>C57/'Table 1'!D57</f>
        <v>7.924166643382045</v>
      </c>
      <c r="F57" s="228">
        <f>VLOOKUP($A57,[0]!Data,143,FALSE)</f>
        <v>87122</v>
      </c>
      <c r="G57" s="319">
        <f>F57/'Table  4'!M57</f>
        <v>0.17499402438852923</v>
      </c>
      <c r="H57" s="320">
        <f>F57/'Table 1'!D57</f>
        <v>2.4343233954567047</v>
      </c>
      <c r="I57" s="228">
        <f>VLOOKUP($A57,[0]!Data,144,FALSE)</f>
        <v>112337</v>
      </c>
      <c r="J57" s="319">
        <f>I57/'Table  4'!M57</f>
        <v>0.22564109774493479</v>
      </c>
      <c r="K57" s="321">
        <f>I57/'Table 1'!D57</f>
        <v>3.138869485037302</v>
      </c>
      <c r="L57" s="228">
        <f>VLOOKUP($A57,[0]!Data,145,FALSE)</f>
        <v>483057</v>
      </c>
      <c r="M57" s="322">
        <f>L57/'Table 1'!D57</f>
        <v>13.497359523876051</v>
      </c>
    </row>
    <row r="58" spans="1:13" x14ac:dyDescent="0.2">
      <c r="A58" s="40" t="s">
        <v>1756</v>
      </c>
      <c r="B58" s="40" t="s">
        <v>1974</v>
      </c>
      <c r="C58" s="228">
        <f>VLOOKUP($A58,[0]!Data,139,FALSE)</f>
        <v>827493</v>
      </c>
      <c r="D58" s="248">
        <f>C58/'Table  4'!M58</f>
        <v>0.63403497910540163</v>
      </c>
      <c r="E58" s="158">
        <f>C58/'Table 1'!D58</f>
        <v>13.400479344464058</v>
      </c>
      <c r="F58" s="228">
        <f>VLOOKUP($A58,[0]!Data,143,FALSE)</f>
        <v>80559</v>
      </c>
      <c r="G58" s="319">
        <f>F58/'Table  4'!M58</f>
        <v>6.1725263998308202E-2</v>
      </c>
      <c r="H58" s="320">
        <f>F58/'Table 1'!D58</f>
        <v>1.3045780635131414</v>
      </c>
      <c r="I58" s="228">
        <f>VLOOKUP($A58,[0]!Data,144,FALSE)</f>
        <v>221350</v>
      </c>
      <c r="J58" s="319">
        <f>I58/'Table  4'!M58</f>
        <v>0.16960100281812734</v>
      </c>
      <c r="K58" s="321">
        <f>I58/'Table 1'!D58</f>
        <v>3.5845573351038849</v>
      </c>
      <c r="L58" s="228">
        <f>VLOOKUP($A58,[0]!Data,145,FALSE)</f>
        <v>1129402</v>
      </c>
      <c r="M58" s="322">
        <f>L58/'Table 1'!D58</f>
        <v>18.289614743081085</v>
      </c>
    </row>
    <row r="59" spans="1:13" x14ac:dyDescent="0.2">
      <c r="A59" s="40" t="s">
        <v>1768</v>
      </c>
      <c r="B59" s="40" t="s">
        <v>1975</v>
      </c>
      <c r="C59" s="228">
        <f>VLOOKUP($A59,[0]!Data,139,FALSE)</f>
        <v>987475</v>
      </c>
      <c r="D59" s="248">
        <f>C59/'Table  4'!M59</f>
        <v>0.66135183066821335</v>
      </c>
      <c r="E59" s="158">
        <f>C59/'Table 1'!D59</f>
        <v>28.925129617153402</v>
      </c>
      <c r="F59" s="228">
        <f>VLOOKUP($A59,[0]!Data,143,FALSE)</f>
        <v>158485</v>
      </c>
      <c r="G59" s="319">
        <f>F59/'Table  4'!M59</f>
        <v>0.10614379592744301</v>
      </c>
      <c r="H59" s="320">
        <f>F59/'Table 1'!D59</f>
        <v>4.6423445326459474</v>
      </c>
      <c r="I59" s="228">
        <f>VLOOKUP($A59,[0]!Data,144,FALSE)</f>
        <v>318745</v>
      </c>
      <c r="J59" s="319">
        <f>I59/'Table  4'!M59</f>
        <v>0.21347638093758289</v>
      </c>
      <c r="K59" s="321">
        <f>I59/'Table 1'!D59</f>
        <v>9.336682386713143</v>
      </c>
      <c r="L59" s="228">
        <f>VLOOKUP($A59,[0]!Data,145,FALSE)</f>
        <v>1464705</v>
      </c>
      <c r="M59" s="322">
        <f>L59/'Table 1'!D59</f>
        <v>42.904156536512495</v>
      </c>
    </row>
    <row r="60" spans="1:13" x14ac:dyDescent="0.2">
      <c r="A60" s="40" t="s">
        <v>1784</v>
      </c>
      <c r="B60" s="40" t="s">
        <v>1976</v>
      </c>
      <c r="C60" s="228">
        <f>VLOOKUP($A60,[0]!Data,139,FALSE)</f>
        <v>3331918</v>
      </c>
      <c r="D60" s="248">
        <f>C60/'Table  4'!M60</f>
        <v>0.71161635502072429</v>
      </c>
      <c r="E60" s="158">
        <f>C60/'Table 1'!D60</f>
        <v>14.880280463568765</v>
      </c>
      <c r="F60" s="228">
        <f>VLOOKUP($A60,[0]!Data,143,FALSE)</f>
        <v>485134</v>
      </c>
      <c r="G60" s="319">
        <f>F60/'Table  4'!M60</f>
        <v>0.10361278061963831</v>
      </c>
      <c r="H60" s="320">
        <f>F60/'Table 1'!D60</f>
        <v>2.1665989326306856</v>
      </c>
      <c r="I60" s="228">
        <f>VLOOKUP($A60,[0]!Data,144,FALSE)</f>
        <v>834981</v>
      </c>
      <c r="J60" s="319">
        <f>I60/'Table  4'!M60</f>
        <v>0.17833156029997119</v>
      </c>
      <c r="K60" s="321">
        <f>I60/'Table 1'!D60</f>
        <v>3.7290087756514749</v>
      </c>
      <c r="L60" s="228">
        <f>VLOOKUP($A60,[0]!Data,145,FALSE)</f>
        <v>4652033</v>
      </c>
      <c r="M60" s="322">
        <f>L60/'Table 1'!D60</f>
        <v>20.775888171850927</v>
      </c>
    </row>
    <row r="61" spans="1:13" x14ac:dyDescent="0.2">
      <c r="A61" s="40" t="s">
        <v>1531</v>
      </c>
      <c r="B61" s="40" t="s">
        <v>1977</v>
      </c>
      <c r="C61" s="228">
        <f>VLOOKUP($A61,[0]!Data,139,FALSE)</f>
        <v>571633</v>
      </c>
      <c r="D61" s="248">
        <f>C61/'Table  4'!M61</f>
        <v>0.60413229691240267</v>
      </c>
      <c r="E61" s="158">
        <f>C61/'Table 1'!D61</f>
        <v>12.718500389364779</v>
      </c>
      <c r="F61" s="228">
        <f>VLOOKUP($A61,[0]!Data,143,FALSE)</f>
        <v>70000</v>
      </c>
      <c r="G61" s="319">
        <f>F61/'Table  4'!M61</f>
        <v>7.3979740119741497E-2</v>
      </c>
      <c r="H61" s="320">
        <f>F61/'Table 1'!D61</f>
        <v>1.5574591166981866</v>
      </c>
      <c r="I61" s="228">
        <f>VLOOKUP($A61,[0]!Data,144,FALSE)</f>
        <v>284000</v>
      </c>
      <c r="J61" s="319">
        <f>I61/'Table  4'!M61</f>
        <v>0.30014637420009405</v>
      </c>
      <c r="K61" s="321">
        <f>I61/'Table 1'!D61</f>
        <v>6.3188341306040714</v>
      </c>
      <c r="L61" s="228">
        <f>VLOOKUP($A61,[0]!Data,145,FALSE)</f>
        <v>925633</v>
      </c>
      <c r="M61" s="322">
        <f>L61/'Table 1'!D61</f>
        <v>20.594793636667038</v>
      </c>
    </row>
    <row r="62" spans="1:13" x14ac:dyDescent="0.2">
      <c r="A62" s="40" t="s">
        <v>1799</v>
      </c>
      <c r="B62" s="40" t="s">
        <v>1978</v>
      </c>
      <c r="C62" s="228">
        <f>VLOOKUP($A62,[0]!Data,139,FALSE)</f>
        <v>15169770</v>
      </c>
      <c r="D62" s="248">
        <f>C62/'Table  4'!M62</f>
        <v>0.59890265315529168</v>
      </c>
      <c r="E62" s="158">
        <f>C62/'Table 1'!D62</f>
        <v>14.774579546295683</v>
      </c>
      <c r="F62" s="228">
        <f>VLOOKUP($A62,[0]!Data,143,FALSE)</f>
        <v>4033896</v>
      </c>
      <c r="G62" s="319">
        <f>F62/'Table  4'!M62</f>
        <v>0.15925824959458965</v>
      </c>
      <c r="H62" s="320">
        <f>F62/'Table 1'!D62</f>
        <v>3.9288082372695152</v>
      </c>
      <c r="I62" s="228">
        <f>VLOOKUP($A62,[0]!Data,144,FALSE)</f>
        <v>5542457</v>
      </c>
      <c r="J62" s="319">
        <f>I62/'Table  4'!M62</f>
        <v>0.21881625115602402</v>
      </c>
      <c r="K62" s="321">
        <f>I62/'Table 1'!D62</f>
        <v>5.3980694386548596</v>
      </c>
      <c r="L62" s="228">
        <f>VLOOKUP($A62,[0]!Data,145,FALSE)</f>
        <v>24746123</v>
      </c>
      <c r="M62" s="322">
        <f>L62/'Table 1'!D62</f>
        <v>24.101457222220059</v>
      </c>
    </row>
    <row r="63" spans="1:13" x14ac:dyDescent="0.2">
      <c r="A63" s="40" t="s">
        <v>1814</v>
      </c>
      <c r="B63" s="40" t="s">
        <v>1979</v>
      </c>
      <c r="C63" s="228">
        <f>VLOOKUP($A63,[0]!Data,139,FALSE)</f>
        <v>348883</v>
      </c>
      <c r="D63" s="248">
        <f>C63/'Table  4'!M63</f>
        <v>0.68250651924277017</v>
      </c>
      <c r="E63" s="158">
        <f>C63/'Table 1'!D63</f>
        <v>17.339247552308532</v>
      </c>
      <c r="F63" s="228">
        <f>VLOOKUP($A63,[0]!Data,143,FALSE)</f>
        <v>19175</v>
      </c>
      <c r="G63" s="319">
        <f>F63/'Table  4'!M63</f>
        <v>3.7511321865726095E-2</v>
      </c>
      <c r="H63" s="320">
        <f>F63/'Table 1'!D63</f>
        <v>0.95298444411311567</v>
      </c>
      <c r="I63" s="228">
        <f>VLOOKUP($A63,[0]!Data,144,FALSE)</f>
        <v>100496</v>
      </c>
      <c r="J63" s="319">
        <f>I63/'Table  4'!M63</f>
        <v>0.19659649555243858</v>
      </c>
      <c r="K63" s="321">
        <f>I63/'Table 1'!D63</f>
        <v>4.9945827742159929</v>
      </c>
      <c r="L63" s="228">
        <f>VLOOKUP($A63,[0]!Data,145,FALSE)</f>
        <v>468554</v>
      </c>
      <c r="M63" s="322">
        <f>L63/'Table 1'!D63</f>
        <v>23.28681477063764</v>
      </c>
    </row>
    <row r="64" spans="1:13" x14ac:dyDescent="0.2">
      <c r="A64" s="40" t="s">
        <v>1826</v>
      </c>
      <c r="B64" s="40" t="s">
        <v>1980</v>
      </c>
      <c r="C64" s="228">
        <f>VLOOKUP($A64,[0]!Data,139,FALSE)</f>
        <v>1571603</v>
      </c>
      <c r="D64" s="248">
        <f>C64/'Table  4'!M64</f>
        <v>0.78595908479650167</v>
      </c>
      <c r="E64" s="158">
        <f>C64/'Table 1'!D64</f>
        <v>12.592165566309852</v>
      </c>
      <c r="F64" s="228">
        <f>VLOOKUP($A64,[0]!Data,143,FALSE)</f>
        <v>219934</v>
      </c>
      <c r="G64" s="319">
        <f>F64/'Table  4'!M64</f>
        <v>0.10998905280508742</v>
      </c>
      <c r="H64" s="320">
        <f>F64/'Table 1'!D64</f>
        <v>1.7621787064931735</v>
      </c>
      <c r="I64" s="228">
        <f>VLOOKUP($A64,[0]!Data,144,FALSE)</f>
        <v>208062</v>
      </c>
      <c r="J64" s="319">
        <f>I64/'Table  4'!M64</f>
        <v>0.10405186239841088</v>
      </c>
      <c r="K64" s="321">
        <f>I64/'Table 1'!D64</f>
        <v>1.6670565989359656</v>
      </c>
      <c r="L64" s="228">
        <f>VLOOKUP($A64,[0]!Data,145,FALSE)</f>
        <v>1999599</v>
      </c>
      <c r="M64" s="322">
        <f>L64/'Table 1'!D64</f>
        <v>16.02140087173899</v>
      </c>
    </row>
    <row r="65" spans="1:13" x14ac:dyDescent="0.2">
      <c r="A65" s="40" t="s">
        <v>1842</v>
      </c>
      <c r="B65" s="40" t="s">
        <v>1981</v>
      </c>
      <c r="C65" s="228">
        <f>VLOOKUP($A65,[0]!Data,139,FALSE)</f>
        <v>1285677</v>
      </c>
      <c r="D65" s="248">
        <f>C65/'Table  4'!M65</f>
        <v>0.64422261228248889</v>
      </c>
      <c r="E65" s="158">
        <f>C65/'Table 1'!D65</f>
        <v>15.725396903055358</v>
      </c>
      <c r="F65" s="228">
        <f>VLOOKUP($A65,[0]!Data,143,FALSE)</f>
        <v>88155</v>
      </c>
      <c r="G65" s="319">
        <f>F65/'Table  4'!M65</f>
        <v>4.4172404410876769E-2</v>
      </c>
      <c r="H65" s="320">
        <f>F65/'Table 1'!D65</f>
        <v>1.0782431077081143</v>
      </c>
      <c r="I65" s="228">
        <f>VLOOKUP($A65,[0]!Data,144,FALSE)</f>
        <v>399869</v>
      </c>
      <c r="J65" s="319">
        <f>I65/'Table  4'!M65</f>
        <v>0.200364984168486</v>
      </c>
      <c r="K65" s="321">
        <f>I65/'Table 1'!D65</f>
        <v>4.8908852956285624</v>
      </c>
      <c r="L65" s="228">
        <f>VLOOKUP($A65,[0]!Data,145,FALSE)</f>
        <v>1773701</v>
      </c>
      <c r="M65" s="322">
        <f>L65/'Table 1'!D65</f>
        <v>21.694525306392034</v>
      </c>
    </row>
    <row r="66" spans="1:13" ht="13.5" thickBot="1" x14ac:dyDescent="0.25">
      <c r="A66" s="648" t="s">
        <v>1882</v>
      </c>
      <c r="B66" s="670"/>
      <c r="C66" s="162">
        <f t="shared" ref="C66:K66" si="0">AVERAGE(C8:C65)</f>
        <v>2252413.0862068967</v>
      </c>
      <c r="D66" s="324">
        <f t="shared" si="0"/>
        <v>0.68090193584208758</v>
      </c>
      <c r="E66" s="162">
        <f t="shared" si="0"/>
        <v>13.297230003601728</v>
      </c>
      <c r="F66" s="162">
        <f t="shared" si="0"/>
        <v>385321.96551724139</v>
      </c>
      <c r="G66" s="324">
        <f t="shared" si="0"/>
        <v>0.10413758875352284</v>
      </c>
      <c r="H66" s="162">
        <f t="shared" si="0"/>
        <v>2.0377354021984475</v>
      </c>
      <c r="I66" s="162">
        <f t="shared" si="0"/>
        <v>608692.17241379316</v>
      </c>
      <c r="J66" s="324">
        <f t="shared" si="0"/>
        <v>0.16596384357990987</v>
      </c>
      <c r="K66" s="162">
        <f t="shared" si="0"/>
        <v>3.3480654436105395</v>
      </c>
      <c r="L66" s="162">
        <f>AVERAGEIF(L8:L65,"&gt;-1",L8:L65)</f>
        <v>3246427.2241379311</v>
      </c>
      <c r="M66" s="162">
        <f>AVERAGE(M8:M65)</f>
        <v>18.683030849410716</v>
      </c>
    </row>
    <row r="67" spans="1:13" ht="14.25" thickTop="1" thickBot="1" x14ac:dyDescent="0.25">
      <c r="A67" s="651" t="s">
        <v>1866</v>
      </c>
      <c r="B67" s="651"/>
      <c r="C67" s="326"/>
      <c r="D67" s="327"/>
      <c r="E67" s="235"/>
      <c r="F67" s="328"/>
      <c r="G67" s="236"/>
      <c r="H67" s="235"/>
      <c r="I67" s="329"/>
      <c r="J67" s="236"/>
      <c r="K67" s="329"/>
      <c r="L67" s="329"/>
      <c r="M67" s="330"/>
    </row>
    <row r="68" spans="1:13" ht="13.5" thickTop="1" x14ac:dyDescent="0.2">
      <c r="A68" s="239" t="s">
        <v>692</v>
      </c>
      <c r="B68" s="239" t="s">
        <v>1982</v>
      </c>
      <c r="C68" s="228">
        <f>VLOOKUP($A68,[0]!Data,139,FALSE)</f>
        <v>747050</v>
      </c>
      <c r="D68" s="248">
        <f>C68/'Table  4'!M68</f>
        <v>0.59537661625564253</v>
      </c>
      <c r="E68" s="158">
        <f>C68/'Table 1'!D68</f>
        <v>9.7571965936993887</v>
      </c>
      <c r="F68" s="228">
        <f>VLOOKUP($A68,[0]!Data,143,FALSE)</f>
        <v>93874</v>
      </c>
      <c r="G68" s="319">
        <f>F68/'Table  4'!M68</f>
        <v>7.4814784116701949E-2</v>
      </c>
      <c r="H68" s="320">
        <f>F68/'Table 1'!D68</f>
        <v>1.2260853664907789</v>
      </c>
      <c r="I68" s="228">
        <f>VLOOKUP($A68,[0]!Data,144,FALSE)</f>
        <v>198378</v>
      </c>
      <c r="J68" s="319">
        <f>I68/'Table  4'!M68</f>
        <v>0.1581013618627426</v>
      </c>
      <c r="K68" s="321">
        <f>I68/'Table 1'!D68</f>
        <v>2.5910088292147746</v>
      </c>
      <c r="L68" s="228">
        <f>VLOOKUP($A68,[0]!Data,145,FALSE)</f>
        <v>1039302</v>
      </c>
      <c r="M68" s="322">
        <f>L68/'Table 1'!D68</f>
        <v>13.574290789404943</v>
      </c>
    </row>
    <row r="69" spans="1:13" x14ac:dyDescent="0.2">
      <c r="A69" s="239" t="s">
        <v>739</v>
      </c>
      <c r="B69" s="239" t="s">
        <v>1983</v>
      </c>
      <c r="C69" s="228">
        <f>VLOOKUP($A69,[0]!Data,139,FALSE)</f>
        <v>540543</v>
      </c>
      <c r="D69" s="248">
        <f>C69/'Table  4'!M69</f>
        <v>0.64072253054006068</v>
      </c>
      <c r="E69" s="158">
        <f>C69/'Table 1'!D69</f>
        <v>10.494757892284394</v>
      </c>
      <c r="F69" s="228">
        <f>VLOOKUP($A69,[0]!Data,143,FALSE)</f>
        <v>60660</v>
      </c>
      <c r="G69" s="319">
        <f>F69/'Table  4'!M69</f>
        <v>7.190219594474459E-2</v>
      </c>
      <c r="H69" s="320">
        <f>F69/'Table 1'!D69</f>
        <v>1.1777268667728031</v>
      </c>
      <c r="I69" s="228">
        <f>VLOOKUP($A69,[0]!Data,144,FALSE)</f>
        <v>239340</v>
      </c>
      <c r="J69" s="319">
        <f>I69/'Table  4'!M69</f>
        <v>0.28369719052778058</v>
      </c>
      <c r="K69" s="321">
        <f>I69/'Table 1'!D69</f>
        <v>4.6468372616782512</v>
      </c>
      <c r="L69" s="228">
        <f>VLOOKUP($A69,[0]!Data,145,FALSE)</f>
        <v>840543</v>
      </c>
      <c r="M69" s="322">
        <f>L69/'Table 1'!D69</f>
        <v>16.319322020735449</v>
      </c>
    </row>
    <row r="70" spans="1:13" x14ac:dyDescent="0.2">
      <c r="A70" s="239" t="s">
        <v>723</v>
      </c>
      <c r="B70" s="239" t="s">
        <v>1984</v>
      </c>
      <c r="C70" s="228">
        <f>VLOOKUP($A70,[0]!Data,139,FALSE)</f>
        <v>1657389</v>
      </c>
      <c r="D70" s="248">
        <f>C70/'Table  4'!M70</f>
        <v>0.57169461632841578</v>
      </c>
      <c r="E70" s="158">
        <f>C70/'Table 1'!D70</f>
        <v>10.877896864724375</v>
      </c>
      <c r="F70" s="228">
        <f>VLOOKUP($A70,[0]!Data,143,FALSE)</f>
        <v>163531</v>
      </c>
      <c r="G70" s="319">
        <f>F70/'Table  4'!M70</f>
        <v>5.640787546122375E-2</v>
      </c>
      <c r="H70" s="320">
        <f>F70/'Table 1'!D70</f>
        <v>1.0732986354954943</v>
      </c>
      <c r="I70" s="228">
        <f>VLOOKUP($A70,[0]!Data,144,FALSE)</f>
        <v>445353</v>
      </c>
      <c r="J70" s="319">
        <f>I70/'Table  4'!M70</f>
        <v>0.15361868123036232</v>
      </c>
      <c r="K70" s="321">
        <f>I70/'Table 1'!D70</f>
        <v>2.9229734253066688</v>
      </c>
      <c r="L70" s="228">
        <f>VLOOKUP($A70,[0]!Data,145,FALSE)</f>
        <v>2266273</v>
      </c>
      <c r="M70" s="322">
        <f>L70/'Table 1'!D70</f>
        <v>14.874168925526538</v>
      </c>
    </row>
    <row r="71" spans="1:13" x14ac:dyDescent="0.2">
      <c r="A71" s="239" t="s">
        <v>760</v>
      </c>
      <c r="B71" s="239" t="s">
        <v>1985</v>
      </c>
      <c r="C71" s="228">
        <f>VLOOKUP($A71,[0]!Data,139,FALSE)</f>
        <v>563832</v>
      </c>
      <c r="D71" s="248">
        <f>C71/'Table  4'!M71</f>
        <v>0.63377261016766262</v>
      </c>
      <c r="E71" s="158">
        <f>C71/'Table 1'!D71</f>
        <v>8.380878768059933</v>
      </c>
      <c r="F71" s="228">
        <f>VLOOKUP($A71,[0]!Data,143,FALSE)</f>
        <v>68313</v>
      </c>
      <c r="G71" s="319">
        <f>F71/'Table  4'!M71</f>
        <v>7.6786894533094133E-2</v>
      </c>
      <c r="H71" s="320">
        <f>F71/'Table 1'!D71</f>
        <v>1.0154141149890006</v>
      </c>
      <c r="I71" s="228">
        <f>VLOOKUP($A71,[0]!Data,144,FALSE)</f>
        <v>257499</v>
      </c>
      <c r="J71" s="319">
        <f>I71/'Table  4'!M71</f>
        <v>0.28944049529924332</v>
      </c>
      <c r="K71" s="321">
        <f>I71/'Table 1'!D71</f>
        <v>3.8275016350555919</v>
      </c>
      <c r="L71" s="228">
        <f>VLOOKUP($A71,[0]!Data,145,FALSE)</f>
        <v>889644</v>
      </c>
      <c r="M71" s="322">
        <f>L71/'Table 1'!D71</f>
        <v>13.223794518104524</v>
      </c>
    </row>
    <row r="72" spans="1:13" x14ac:dyDescent="0.2">
      <c r="A72" s="239" t="s">
        <v>975</v>
      </c>
      <c r="B72" s="239" t="s">
        <v>1986</v>
      </c>
      <c r="C72" s="228">
        <f>VLOOKUP($A72,[0]!Data,139,FALSE)</f>
        <v>2442190</v>
      </c>
      <c r="D72" s="248">
        <f>C72/'Table  4'!M72</f>
        <v>0.61769906535390118</v>
      </c>
      <c r="E72" s="158">
        <f>C72/'Table 1'!D72</f>
        <v>13.06305294350482</v>
      </c>
      <c r="F72" s="228">
        <f>VLOOKUP($A72,[0]!Data,143,FALSE)</f>
        <v>270350</v>
      </c>
      <c r="G72" s="319">
        <f>F72/'Table  4'!M72</f>
        <v>6.8379177016705164E-2</v>
      </c>
      <c r="H72" s="320">
        <f>F72/'Table 1'!D72</f>
        <v>1.4460776447682318</v>
      </c>
      <c r="I72" s="228">
        <f>VLOOKUP($A72,[0]!Data,144,FALSE)</f>
        <v>729525</v>
      </c>
      <c r="J72" s="319">
        <f>I72/'Table  4'!M72</f>
        <v>0.18451754804184142</v>
      </c>
      <c r="K72" s="321">
        <f>I72/'Table 1'!D72</f>
        <v>3.9021630989441252</v>
      </c>
      <c r="L72" s="228">
        <f>VLOOKUP($A72,[0]!Data,145,FALSE)</f>
        <v>3442065</v>
      </c>
      <c r="M72" s="322">
        <f>L72/'Table 1'!D72</f>
        <v>18.411293687217178</v>
      </c>
    </row>
    <row r="73" spans="1:13" x14ac:dyDescent="0.2">
      <c r="A73" s="239" t="s">
        <v>1071</v>
      </c>
      <c r="B73" s="239" t="s">
        <v>1987</v>
      </c>
      <c r="C73" s="228">
        <f>VLOOKUP($A73,[0]!Data,139,FALSE)</f>
        <v>2062667</v>
      </c>
      <c r="D73" s="248">
        <f>C73/'Table  4'!M73</f>
        <v>0.73484672783659044</v>
      </c>
      <c r="E73" s="158">
        <f>C73/'Table 1'!D73</f>
        <v>18.244164551252002</v>
      </c>
      <c r="F73" s="228">
        <f>VLOOKUP($A73,[0]!Data,143,FALSE)</f>
        <v>183762</v>
      </c>
      <c r="G73" s="319">
        <f>F73/'Table  4'!M73</f>
        <v>6.5467137643016315E-2</v>
      </c>
      <c r="H73" s="320">
        <f>F73/'Table 1'!D73</f>
        <v>1.6253637481315066</v>
      </c>
      <c r="I73" s="228">
        <f>VLOOKUP($A73,[0]!Data,144,FALSE)</f>
        <v>490747</v>
      </c>
      <c r="J73" s="319">
        <f>I73/'Table  4'!M73</f>
        <v>0.17483375995525369</v>
      </c>
      <c r="K73" s="321">
        <f>I73/'Table 1'!D73</f>
        <v>4.3406274599987613</v>
      </c>
      <c r="L73" s="228">
        <f>VLOOKUP($A73,[0]!Data,145,FALSE)</f>
        <v>2737176</v>
      </c>
      <c r="M73" s="322">
        <f>L73/'Table 1'!D73</f>
        <v>24.210155759382271</v>
      </c>
    </row>
    <row r="74" spans="1:13" x14ac:dyDescent="0.2">
      <c r="A74" s="239" t="s">
        <v>1111</v>
      </c>
      <c r="B74" s="239" t="s">
        <v>1988</v>
      </c>
      <c r="C74" s="228">
        <f>VLOOKUP($A74,[0]!Data,139,FALSE)</f>
        <v>2355565</v>
      </c>
      <c r="D74" s="248">
        <f>C74/'Table  4'!M74</f>
        <v>0.71250778882160426</v>
      </c>
      <c r="E74" s="158">
        <f>C74/'Table 1'!D74</f>
        <v>25.794340841646498</v>
      </c>
      <c r="F74" s="228">
        <f>VLOOKUP($A74,[0]!Data,143,FALSE)</f>
        <v>286924</v>
      </c>
      <c r="G74" s="319">
        <f>F74/'Table  4'!M74</f>
        <v>8.6788343688180961E-2</v>
      </c>
      <c r="H74" s="320">
        <f>F74/'Table 1'!D74</f>
        <v>3.1419279245737561</v>
      </c>
      <c r="I74" s="228">
        <f>VLOOKUP($A74,[0]!Data,144,FALSE)</f>
        <v>575448</v>
      </c>
      <c r="J74" s="319">
        <f>I74/'Table  4'!M74</f>
        <v>0.17406065299060502</v>
      </c>
      <c r="K74" s="321">
        <f>I74/'Table 1'!D74</f>
        <v>6.3013764632450364</v>
      </c>
      <c r="L74" s="228">
        <f>VLOOKUP($A74,[0]!Data,145,FALSE)</f>
        <v>3217937</v>
      </c>
      <c r="M74" s="322">
        <f>L74/'Table 1'!D74</f>
        <v>35.237645229465294</v>
      </c>
    </row>
    <row r="75" spans="1:13" x14ac:dyDescent="0.2">
      <c r="A75" s="239" t="s">
        <v>1425</v>
      </c>
      <c r="B75" s="239" t="s">
        <v>1989</v>
      </c>
      <c r="C75" s="228">
        <f>VLOOKUP($A75,[0]!Data,139,FALSE)</f>
        <v>786558</v>
      </c>
      <c r="D75" s="248">
        <f>C75/'Table  4'!M75</f>
        <v>0.6406400552546937</v>
      </c>
      <c r="E75" s="158">
        <f>C75/'Table 1'!D75</f>
        <v>16.135847043860011</v>
      </c>
      <c r="F75" s="228">
        <f>VLOOKUP($A75,[0]!Data,143,FALSE)</f>
        <v>99188</v>
      </c>
      <c r="G75" s="319">
        <f>F75/'Table  4'!M75</f>
        <v>8.0787183908373639E-2</v>
      </c>
      <c r="H75" s="320">
        <f>F75/'Table 1'!D75</f>
        <v>2.0347925983670456</v>
      </c>
      <c r="I75" s="228">
        <f>VLOOKUP($A75,[0]!Data,144,FALSE)</f>
        <v>216644</v>
      </c>
      <c r="J75" s="319">
        <f>I75/'Table  4'!M75</f>
        <v>0.17645338821879361</v>
      </c>
      <c r="K75" s="321">
        <f>I75/'Table 1'!D75</f>
        <v>4.4443441513149793</v>
      </c>
      <c r="L75" s="228">
        <f>VLOOKUP($A75,[0]!Data,145,FALSE)</f>
        <v>1102390</v>
      </c>
      <c r="M75" s="322">
        <f>L75/'Table 1'!D75</f>
        <v>22.614983793542034</v>
      </c>
    </row>
    <row r="76" spans="1:13" x14ac:dyDescent="0.2">
      <c r="A76" s="239" t="s">
        <v>1442</v>
      </c>
      <c r="B76" s="239" t="s">
        <v>1990</v>
      </c>
      <c r="C76" s="228">
        <f>VLOOKUP($A76,[0]!Data,139,FALSE)</f>
        <v>1123397</v>
      </c>
      <c r="D76" s="248">
        <f>C76/'Table  4'!M76</f>
        <v>0.51537055260037112</v>
      </c>
      <c r="E76" s="158">
        <f>C76/'Table 1'!D76</f>
        <v>12.571305476600791</v>
      </c>
      <c r="F76" s="228">
        <f>VLOOKUP($A76,[0]!Data,143,FALSE)</f>
        <v>198005</v>
      </c>
      <c r="G76" s="319">
        <f>F76/'Table  4'!M76</f>
        <v>9.0836940340446426E-2</v>
      </c>
      <c r="H76" s="320">
        <f>F76/'Table 1'!D76</f>
        <v>2.215762852219064</v>
      </c>
      <c r="I76" s="228">
        <f>VLOOKUP($A76,[0]!Data,144,FALSE)</f>
        <v>490662</v>
      </c>
      <c r="J76" s="319">
        <f>I76/'Table  4'!M76</f>
        <v>0.22509651181194476</v>
      </c>
      <c r="K76" s="321">
        <f>I76/'Table 1'!D76</f>
        <v>5.4907231261610079</v>
      </c>
      <c r="L76" s="228">
        <f>VLOOKUP($A76,[0]!Data,145,FALSE)</f>
        <v>1812064</v>
      </c>
      <c r="M76" s="322">
        <f>L76/'Table 1'!D76</f>
        <v>20.277791454980864</v>
      </c>
    </row>
    <row r="77" spans="1:13" x14ac:dyDescent="0.2">
      <c r="A77" s="239" t="s">
        <v>1472</v>
      </c>
      <c r="B77" s="239" t="s">
        <v>1991</v>
      </c>
      <c r="C77" s="228">
        <f>VLOOKUP($A77,[0]!Data,139,FALSE)</f>
        <v>1613068</v>
      </c>
      <c r="D77" s="248">
        <f>C77/'Table  4'!M77</f>
        <v>0.67414392972147286</v>
      </c>
      <c r="E77" s="158">
        <f>C77/'Table 1'!D77</f>
        <v>9.5719109191139378</v>
      </c>
      <c r="F77" s="228">
        <f>VLOOKUP($A77,[0]!Data,143,FALSE)</f>
        <v>98591</v>
      </c>
      <c r="G77" s="319">
        <f>F77/'Table  4'!M77</f>
        <v>4.1203795608845836E-2</v>
      </c>
      <c r="H77" s="320">
        <f>F77/'Table 1'!D77</f>
        <v>0.5850368796767168</v>
      </c>
      <c r="I77" s="228">
        <f>VLOOKUP($A77,[0]!Data,144,FALSE)</f>
        <v>443119</v>
      </c>
      <c r="J77" s="319">
        <f>I77/'Table  4'!M77</f>
        <v>0.1851911909443677</v>
      </c>
      <c r="K77" s="321">
        <f>I77/'Table 1'!D77</f>
        <v>2.6294586431364637</v>
      </c>
      <c r="L77" s="228">
        <f>VLOOKUP($A77,[0]!Data,145,FALSE)</f>
        <v>2154778</v>
      </c>
      <c r="M77" s="322">
        <f>L77/'Table 1'!D77</f>
        <v>12.786406441927118</v>
      </c>
    </row>
    <row r="78" spans="1:13" x14ac:dyDescent="0.2">
      <c r="A78" s="239" t="s">
        <v>1558</v>
      </c>
      <c r="B78" s="239" t="s">
        <v>1992</v>
      </c>
      <c r="C78" s="228">
        <f>VLOOKUP($A78,[0]!Data,139,FALSE)</f>
        <v>780151</v>
      </c>
      <c r="D78" s="248">
        <f>C78/'Table  4'!M78</f>
        <v>0.68701692464442743</v>
      </c>
      <c r="E78" s="158">
        <f>C78/'Table 1'!D78</f>
        <v>17.518885295966946</v>
      </c>
      <c r="F78" s="228">
        <f>VLOOKUP($A78,[0]!Data,143,FALSE)</f>
        <v>80080</v>
      </c>
      <c r="G78" s="319">
        <f>F78/'Table  4'!M78</f>
        <v>7.0520085631532559E-2</v>
      </c>
      <c r="H78" s="320">
        <f>F78/'Table 1'!D78</f>
        <v>1.7982574328572711</v>
      </c>
      <c r="I78" s="228">
        <f>VLOOKUP($A78,[0]!Data,144,FALSE)</f>
        <v>257445</v>
      </c>
      <c r="J78" s="319">
        <f>I78/'Table  4'!M78</f>
        <v>0.22671133173588784</v>
      </c>
      <c r="K78" s="321">
        <f>I78/'Table 1'!D78</f>
        <v>5.7811236863379145</v>
      </c>
      <c r="L78" s="228">
        <f>VLOOKUP($A78,[0]!Data,145,FALSE)</f>
        <v>1117676</v>
      </c>
      <c r="M78" s="322">
        <f>L78/'Table 1'!D78</f>
        <v>25.098266415162129</v>
      </c>
    </row>
    <row r="79" spans="1:13" x14ac:dyDescent="0.2">
      <c r="A79" s="239" t="s">
        <v>1696</v>
      </c>
      <c r="B79" s="239" t="s">
        <v>1993</v>
      </c>
      <c r="C79" s="228">
        <f>VLOOKUP($A79,[0]!Data,139,FALSE)</f>
        <v>1882240</v>
      </c>
      <c r="D79" s="248">
        <f>C79/'Table  4'!M79</f>
        <v>0.66353531094757123</v>
      </c>
      <c r="E79" s="158">
        <f>C79/'Table 1'!D79</f>
        <v>8.0828623941460407</v>
      </c>
      <c r="F79" s="228">
        <f>VLOOKUP($A79,[0]!Data,143,FALSE)</f>
        <v>344724</v>
      </c>
      <c r="G79" s="319">
        <f>F79/'Table  4'!M79</f>
        <v>0.12152358175954742</v>
      </c>
      <c r="H79" s="320">
        <f>F79/'Table 1'!D79</f>
        <v>1.4803407939261728</v>
      </c>
      <c r="I79" s="228">
        <f>VLOOKUP($A79,[0]!Data,144,FALSE)</f>
        <v>511084</v>
      </c>
      <c r="J79" s="319">
        <f>I79/'Table  4'!M79</f>
        <v>0.18016952187836219</v>
      </c>
      <c r="K79" s="321">
        <f>I79/'Table 1'!D79</f>
        <v>2.1947369325111223</v>
      </c>
      <c r="L79" s="228">
        <f>VLOOKUP($A79,[0]!Data,145,FALSE)</f>
        <v>2738048</v>
      </c>
      <c r="M79" s="322">
        <f>L79/'Table 1'!D79</f>
        <v>11.757940120583335</v>
      </c>
    </row>
    <row r="80" spans="1:13" ht="13.5" thickBot="1" x14ac:dyDescent="0.25">
      <c r="A80" s="648" t="s">
        <v>1882</v>
      </c>
      <c r="B80" s="649"/>
      <c r="C80" s="323">
        <f t="shared" ref="C80:M80" si="1">AVERAGE(C68:C79)</f>
        <v>1379554.1666666667</v>
      </c>
      <c r="D80" s="324">
        <f t="shared" si="1"/>
        <v>0.6406105607060345</v>
      </c>
      <c r="E80" s="162">
        <f t="shared" si="1"/>
        <v>13.374424965404932</v>
      </c>
      <c r="F80" s="162">
        <f t="shared" si="1"/>
        <v>162333.5</v>
      </c>
      <c r="G80" s="324">
        <f t="shared" si="1"/>
        <v>7.545149963770105E-2</v>
      </c>
      <c r="H80" s="162">
        <f t="shared" si="1"/>
        <v>1.5683404048556533</v>
      </c>
      <c r="I80" s="162">
        <f t="shared" si="1"/>
        <v>404603.66666666669</v>
      </c>
      <c r="J80" s="324">
        <f t="shared" si="1"/>
        <v>0.20099096954143206</v>
      </c>
      <c r="K80" s="325">
        <f t="shared" si="1"/>
        <v>4.0894062260753907</v>
      </c>
      <c r="L80" s="162">
        <f t="shared" si="1"/>
        <v>1946491.3333333333</v>
      </c>
      <c r="M80" s="163">
        <f t="shared" si="1"/>
        <v>19.032171596335974</v>
      </c>
    </row>
    <row r="81" spans="1:13" ht="14.25" thickTop="1" thickBot="1" x14ac:dyDescent="0.25">
      <c r="A81" s="58"/>
      <c r="B81" s="49" t="s">
        <v>1867</v>
      </c>
      <c r="C81" s="331"/>
      <c r="D81" s="332"/>
      <c r="E81" s="165"/>
      <c r="F81" s="317"/>
      <c r="G81" s="269"/>
      <c r="H81" s="165"/>
      <c r="I81" s="164"/>
      <c r="J81" s="269"/>
      <c r="K81" s="164"/>
      <c r="L81" s="164"/>
      <c r="M81" s="318"/>
    </row>
    <row r="82" spans="1:13" ht="13.5" thickTop="1" x14ac:dyDescent="0.2">
      <c r="A82" s="55" t="s">
        <v>897</v>
      </c>
      <c r="B82" s="55" t="s">
        <v>1994</v>
      </c>
      <c r="C82" s="228">
        <f>VLOOKUP($A82,[0]!Data,139,FALSE)</f>
        <v>2117896</v>
      </c>
      <c r="D82" s="248">
        <f>C82/'Table  4'!M82</f>
        <v>0.70169784096387144</v>
      </c>
      <c r="E82" s="158">
        <f>C82/'Table 1'!D82</f>
        <v>35.385551025863798</v>
      </c>
      <c r="F82" s="228">
        <f>VLOOKUP($A82,[0]!Data,143,FALSE)</f>
        <v>253616</v>
      </c>
      <c r="G82" s="319">
        <f>F82/'Table  4'!M82</f>
        <v>8.4027638578047834E-2</v>
      </c>
      <c r="H82" s="320">
        <f>F82/'Table 1'!D82</f>
        <v>4.2373855510258638</v>
      </c>
      <c r="I82" s="228">
        <f>VLOOKUP($A82,[0]!Data,144,FALSE)</f>
        <v>544291</v>
      </c>
      <c r="J82" s="319">
        <f>I82/'Table  4'!M82</f>
        <v>0.18033360446219573</v>
      </c>
      <c r="K82" s="321">
        <f>I82/'Table 1'!D82</f>
        <v>9.0939484060683018</v>
      </c>
      <c r="L82" s="228">
        <f>VLOOKUP($A82,[0]!Data,145,FALSE)</f>
        <v>2915803</v>
      </c>
      <c r="M82" s="322">
        <f>L82/'Table 1'!D82</f>
        <v>48.716884982957964</v>
      </c>
    </row>
    <row r="83" spans="1:13" x14ac:dyDescent="0.2">
      <c r="A83" s="55" t="s">
        <v>1312</v>
      </c>
      <c r="B83" s="55" t="s">
        <v>1868</v>
      </c>
      <c r="C83" s="228">
        <f>VLOOKUP($A83,[0]!Data,139,FALSE)</f>
        <v>442445</v>
      </c>
      <c r="D83" s="248">
        <f>C83/'Table  4'!M83</f>
        <v>0.79697849061429915</v>
      </c>
      <c r="E83" s="158">
        <f>C83/'Table 1'!D83</f>
        <v>22.774746486848201</v>
      </c>
      <c r="F83" s="228">
        <f>VLOOKUP($A83,[0]!Data,143,FALSE)</f>
        <v>41099</v>
      </c>
      <c r="G83" s="319">
        <f>F83/'Table  4'!M83</f>
        <v>7.4031843473781098E-2</v>
      </c>
      <c r="H83" s="320">
        <f>F83/'Table 1'!D83</f>
        <v>2.1155608174190559</v>
      </c>
      <c r="I83" s="228">
        <f>VLOOKUP($A83,[0]!Data,144,FALSE)</f>
        <v>43189</v>
      </c>
      <c r="J83" s="319">
        <f>I83/'Table  4'!M83</f>
        <v>7.7796571395633271E-2</v>
      </c>
      <c r="K83" s="321">
        <f>I83/'Table 1'!D83</f>
        <v>2.2231430483347916</v>
      </c>
      <c r="L83" s="228">
        <f>VLOOKUP($A83,[0]!Data,145,FALSE)</f>
        <v>526733</v>
      </c>
      <c r="M83" s="322">
        <f>L83/'Table 1'!D83</f>
        <v>27.113450352602047</v>
      </c>
    </row>
    <row r="84" spans="1:13" x14ac:dyDescent="0.2">
      <c r="A84" s="55" t="s">
        <v>1100</v>
      </c>
      <c r="B84" s="55" t="s">
        <v>1995</v>
      </c>
      <c r="C84" s="228">
        <f>VLOOKUP($A84,[0]!Data,139,FALSE)</f>
        <v>239251</v>
      </c>
      <c r="D84" s="248">
        <f>C84/'Table  4'!M84</f>
        <v>0.69210497387802805</v>
      </c>
      <c r="E84" s="158">
        <f>C84/'Table 1'!D84</f>
        <v>51.231477516059954</v>
      </c>
      <c r="F84" s="228">
        <f>VLOOKUP($A84,[0]!Data,143,FALSE)</f>
        <v>33322</v>
      </c>
      <c r="G84" s="319">
        <f>F84/'Table  4'!M84</f>
        <v>9.639383718171983E-2</v>
      </c>
      <c r="H84" s="320">
        <f>F84/'Table 1'!D84</f>
        <v>7.1353319057815847</v>
      </c>
      <c r="I84" s="228">
        <f>VLOOKUP($A84,[0]!Data,144,FALSE)</f>
        <v>73185</v>
      </c>
      <c r="J84" s="319">
        <f>I84/'Table  4'!M84</f>
        <v>0.21170947044427602</v>
      </c>
      <c r="K84" s="321">
        <f>I84/'Table 1'!D84</f>
        <v>15.671306209850107</v>
      </c>
      <c r="L84" s="228">
        <f>VLOOKUP($A84,[0]!Data,145,FALSE)</f>
        <v>345758</v>
      </c>
      <c r="M84" s="322">
        <f>L84/'Table 1'!D84</f>
        <v>74.038115631691653</v>
      </c>
    </row>
    <row r="85" spans="1:13" x14ac:dyDescent="0.2">
      <c r="A85" s="55" t="s">
        <v>1281</v>
      </c>
      <c r="B85" s="55" t="s">
        <v>1996</v>
      </c>
      <c r="C85" s="228">
        <f>VLOOKUP($A85,[0]!Data,139,FALSE)</f>
        <v>1162709</v>
      </c>
      <c r="D85" s="248">
        <f>C85/'Table  4'!M85</f>
        <v>0.62064803758342546</v>
      </c>
      <c r="E85" s="158">
        <f>C85/'Table 1'!D85</f>
        <v>28.742219365683631</v>
      </c>
      <c r="F85" s="228">
        <f>VLOOKUP($A85,[0]!Data,143,FALSE)</f>
        <v>255480</v>
      </c>
      <c r="G85" s="319">
        <f>F85/'Table  4'!M85</f>
        <v>0.13637389978215833</v>
      </c>
      <c r="H85" s="320">
        <f>F85/'Table 1'!D85</f>
        <v>6.315477220478086</v>
      </c>
      <c r="I85" s="228">
        <f>VLOOKUP($A85,[0]!Data,144,FALSE)</f>
        <v>455190</v>
      </c>
      <c r="J85" s="319">
        <f>I85/'Table  4'!M85</f>
        <v>0.24297806263441621</v>
      </c>
      <c r="K85" s="321">
        <f>I85/'Table 1'!D85</f>
        <v>11.252317504264207</v>
      </c>
      <c r="L85" s="228">
        <f>VLOOKUP($A85,[0]!Data,145,FALSE)</f>
        <v>1873379</v>
      </c>
      <c r="M85" s="322">
        <f>L85/'Table 1'!D85</f>
        <v>46.310014090425923</v>
      </c>
    </row>
    <row r="86" spans="1:13" x14ac:dyDescent="0.2">
      <c r="A86" s="55" t="s">
        <v>1297</v>
      </c>
      <c r="B86" s="55" t="s">
        <v>1997</v>
      </c>
      <c r="C86" s="228">
        <f>VLOOKUP($A86,[0]!Data,139,FALSE)</f>
        <v>3210848</v>
      </c>
      <c r="D86" s="248">
        <f>C86/'Table  4'!M86</f>
        <v>0.66953761974468373</v>
      </c>
      <c r="E86" s="158">
        <f>C86/'Table 1'!D86</f>
        <v>29.124922898298319</v>
      </c>
      <c r="F86" s="228">
        <f>VLOOKUP($A86,[0]!Data,143,FALSE)</f>
        <v>424225</v>
      </c>
      <c r="G86" s="319">
        <f>F86/'Table  4'!M86</f>
        <v>8.8460928930982854E-2</v>
      </c>
      <c r="H86" s="320">
        <f>F86/'Table 1'!D86</f>
        <v>3.8480552229599798</v>
      </c>
      <c r="I86" s="228">
        <f>VLOOKUP($A86,[0]!Data,144,FALSE)</f>
        <v>704960</v>
      </c>
      <c r="J86" s="319">
        <f>I86/'Table  4'!M86</f>
        <v>0.14700080490113895</v>
      </c>
      <c r="K86" s="321">
        <f>I86/'Table 1'!D86</f>
        <v>6.3945430136787493</v>
      </c>
      <c r="L86" s="228">
        <f>VLOOKUP($A86,[0]!Data,145,FALSE)</f>
        <v>4340033</v>
      </c>
      <c r="M86" s="322">
        <f>L86/'Table 1'!D86</f>
        <v>39.36752113493705</v>
      </c>
    </row>
    <row r="87" spans="1:13" x14ac:dyDescent="0.2">
      <c r="A87" s="55" t="s">
        <v>1341</v>
      </c>
      <c r="B87" s="55" t="s">
        <v>1998</v>
      </c>
      <c r="C87" s="228">
        <f>VLOOKUP($A87,[0]!Data,139,FALSE)</f>
        <v>411587</v>
      </c>
      <c r="D87" s="248">
        <f>C87/'Table  4'!M87</f>
        <v>0.55518580967154518</v>
      </c>
      <c r="E87" s="158">
        <f>C87/'Table 1'!D87</f>
        <v>38.397891594365149</v>
      </c>
      <c r="F87" s="228">
        <f>VLOOKUP($A87,[0]!Data,143,FALSE)</f>
        <v>98948</v>
      </c>
      <c r="G87" s="319">
        <f>F87/'Table  4'!M87</f>
        <v>0.13347002090780333</v>
      </c>
      <c r="H87" s="320">
        <f>F87/'Table 1'!D87</f>
        <v>9.2310849892713875</v>
      </c>
      <c r="I87" s="228">
        <f>VLOOKUP($A87,[0]!Data,144,FALSE)</f>
        <v>118595</v>
      </c>
      <c r="J87" s="319">
        <f>I87/'Table  4'!M87</f>
        <v>0.15997167329871181</v>
      </c>
      <c r="K87" s="321">
        <f>I87/'Table 1'!D87</f>
        <v>11.063998507323443</v>
      </c>
      <c r="L87" s="228">
        <f>VLOOKUP($A87,[0]!Data,145,FALSE)</f>
        <v>629130</v>
      </c>
      <c r="M87" s="322">
        <f>L87/'Table 1'!D87</f>
        <v>58.692975090959976</v>
      </c>
    </row>
    <row r="88" spans="1:13" x14ac:dyDescent="0.2">
      <c r="A88" s="55" t="s">
        <v>1409</v>
      </c>
      <c r="B88" s="55" t="s">
        <v>1999</v>
      </c>
      <c r="C88" s="228">
        <f>VLOOKUP($A88,[0]!Data,139,FALSE)</f>
        <v>1528335</v>
      </c>
      <c r="D88" s="248">
        <f>C88/'Table  4'!M88</f>
        <v>0.6651846919189941</v>
      </c>
      <c r="E88" s="158">
        <f>C88/'Table 1'!D88</f>
        <v>39.119867922596498</v>
      </c>
      <c r="F88" s="228">
        <f>VLOOKUP($A88,[0]!Data,143,FALSE)</f>
        <v>318088</v>
      </c>
      <c r="G88" s="319">
        <f>F88/'Table  4'!M88</f>
        <v>0.13844299075996361</v>
      </c>
      <c r="H88" s="320">
        <f>F88/'Table 1'!D88</f>
        <v>8.1419064195761237</v>
      </c>
      <c r="I88" s="228">
        <f>VLOOKUP($A88,[0]!Data,144,FALSE)</f>
        <v>451187</v>
      </c>
      <c r="J88" s="319">
        <f>I88/'Table  4'!M88</f>
        <v>0.19637231732104229</v>
      </c>
      <c r="K88" s="321">
        <f>I88/'Table 1'!D88</f>
        <v>11.548761134432272</v>
      </c>
      <c r="L88" s="228">
        <f>VLOOKUP($A88,[0]!Data,145,FALSE)</f>
        <v>2297610</v>
      </c>
      <c r="M88" s="322">
        <f>L88/'Table 1'!D88</f>
        <v>58.810535476604898</v>
      </c>
    </row>
    <row r="89" spans="1:13" x14ac:dyDescent="0.2">
      <c r="A89" s="55" t="s">
        <v>1245</v>
      </c>
      <c r="B89" s="55" t="s">
        <v>2000</v>
      </c>
      <c r="C89" s="228">
        <f>VLOOKUP($A89,[0]!Data,139,FALSE)</f>
        <v>145504</v>
      </c>
      <c r="D89" s="248">
        <f>C89/'Table  4'!M89</f>
        <v>0.72505842664155196</v>
      </c>
      <c r="E89" s="158">
        <f>C89/'Table 1'!D89</f>
        <v>27.815714012617089</v>
      </c>
      <c r="F89" s="228">
        <f>VLOOKUP($A89,[0]!Data,143,FALSE)</f>
        <v>15586</v>
      </c>
      <c r="G89" s="319">
        <f>F89/'Table  4'!M89</f>
        <v>7.7666322833978646E-2</v>
      </c>
      <c r="H89" s="320">
        <f>F89/'Table 1'!D89</f>
        <v>2.9795450200726439</v>
      </c>
      <c r="I89" s="228">
        <f>VLOOKUP($A89,[0]!Data,144,FALSE)</f>
        <v>39320</v>
      </c>
      <c r="J89" s="319">
        <f>I89/'Table  4'!M89</f>
        <v>0.19593480134941874</v>
      </c>
      <c r="K89" s="321">
        <f>I89/'Table 1'!D89</f>
        <v>7.516727203211623</v>
      </c>
      <c r="L89" s="228">
        <f>VLOOKUP($A89,[0]!Data,145,FALSE)</f>
        <v>200410</v>
      </c>
      <c r="M89" s="322">
        <f>L89/'Table 1'!D89</f>
        <v>38.311986235901358</v>
      </c>
    </row>
    <row r="90" spans="1:13" x14ac:dyDescent="0.2">
      <c r="A90" s="55" t="s">
        <v>1613</v>
      </c>
      <c r="B90" s="55" t="s">
        <v>2001</v>
      </c>
      <c r="C90" s="228">
        <f>VLOOKUP($A90,[0]!Data,139,FALSE)</f>
        <v>207086</v>
      </c>
      <c r="D90" s="248">
        <f>C90/'Table  4'!M90</f>
        <v>0.70437654549845408</v>
      </c>
      <c r="E90" s="158">
        <f>C90/'Table 1'!D90</f>
        <v>13.713396463810344</v>
      </c>
      <c r="F90" s="228">
        <f>VLOOKUP($A90,[0]!Data,143,FALSE)</f>
        <v>30292</v>
      </c>
      <c r="G90" s="319">
        <f>F90/'Table  4'!M90</f>
        <v>0.1030343640624628</v>
      </c>
      <c r="H90" s="320">
        <f>F90/'Table 1'!D90</f>
        <v>2.005959870207271</v>
      </c>
      <c r="I90" s="228">
        <f>VLOOKUP($A90,[0]!Data,144,FALSE)</f>
        <v>56621</v>
      </c>
      <c r="J90" s="319">
        <f>I90/'Table  4'!M90</f>
        <v>0.19258909043908312</v>
      </c>
      <c r="K90" s="321">
        <f>I90/'Table 1'!D90</f>
        <v>3.7494867889543739</v>
      </c>
      <c r="L90" s="228">
        <f>VLOOKUP($A90,[0]!Data,145,FALSE)</f>
        <v>293999</v>
      </c>
      <c r="M90" s="322">
        <f>L90/'Table 1'!D90</f>
        <v>19.46884312297199</v>
      </c>
    </row>
    <row r="91" spans="1:13" x14ac:dyDescent="0.2">
      <c r="A91" s="55" t="s">
        <v>1742</v>
      </c>
      <c r="B91" s="55" t="s">
        <v>2002</v>
      </c>
      <c r="C91" s="228">
        <f>VLOOKUP($A91,[0]!Data,139,FALSE)</f>
        <v>580955</v>
      </c>
      <c r="D91" s="248">
        <f>C91/'Table  4'!M91</f>
        <v>0.72533151216491398</v>
      </c>
      <c r="E91" s="158">
        <f>C91/'Table 1'!D91</f>
        <v>42.232843849956382</v>
      </c>
      <c r="F91" s="228">
        <f>VLOOKUP($A91,[0]!Data,143,FALSE)</f>
        <v>126918</v>
      </c>
      <c r="G91" s="319">
        <f>F91/'Table  4'!M91</f>
        <v>0.15845913170718309</v>
      </c>
      <c r="H91" s="320">
        <f>F91/'Table 1'!D91</f>
        <v>9.22637394591451</v>
      </c>
      <c r="I91" s="228">
        <f>VLOOKUP($A91,[0]!Data,144,FALSE)</f>
        <v>93078</v>
      </c>
      <c r="J91" s="319">
        <f>I91/'Table  4'!M91</f>
        <v>0.11620935612790295</v>
      </c>
      <c r="K91" s="321">
        <f>I91/'Table 1'!D91</f>
        <v>6.7663564989822627</v>
      </c>
      <c r="L91" s="228">
        <f>VLOOKUP($A91,[0]!Data,145,FALSE)</f>
        <v>800951</v>
      </c>
      <c r="M91" s="322">
        <f>L91/'Table 1'!D91</f>
        <v>58.225574294853153</v>
      </c>
    </row>
    <row r="92" spans="1:13" x14ac:dyDescent="0.2">
      <c r="A92" s="55" t="s">
        <v>1178</v>
      </c>
      <c r="B92" s="55" t="s">
        <v>2003</v>
      </c>
      <c r="C92" s="228">
        <f>VLOOKUP($A92,[0]!Data,139,FALSE)</f>
        <v>277591</v>
      </c>
      <c r="D92" s="248">
        <f>C92/'Table  4'!M92</f>
        <v>0.600666900363095</v>
      </c>
      <c r="E92" s="158">
        <f>C92/'Table 1'!D92</f>
        <v>29.033678485514066</v>
      </c>
      <c r="F92" s="228">
        <f>VLOOKUP($A92,[0]!Data,143,FALSE)</f>
        <v>61063</v>
      </c>
      <c r="G92" s="319">
        <f>F92/'Table  4'!M92</f>
        <v>0.13213152781203882</v>
      </c>
      <c r="H92" s="320">
        <f>F92/'Table 1'!D92</f>
        <v>6.38667503399226</v>
      </c>
      <c r="I92" s="228">
        <f>VLOOKUP($A92,[0]!Data,144,FALSE)</f>
        <v>87972</v>
      </c>
      <c r="J92" s="319">
        <f>I92/'Table  4'!M92</f>
        <v>0.19035872401750126</v>
      </c>
      <c r="K92" s="321">
        <f>I92/'Table 1'!D92</f>
        <v>9.2011295889551299</v>
      </c>
      <c r="L92" s="228">
        <f>VLOOKUP($A92,[0]!Data,145,FALSE)</f>
        <v>426626</v>
      </c>
      <c r="M92" s="322">
        <f>L92/'Table 1'!D92</f>
        <v>44.621483108461454</v>
      </c>
    </row>
    <row r="93" spans="1:13" ht="13.5" thickBot="1" x14ac:dyDescent="0.25">
      <c r="A93" s="652" t="s">
        <v>1882</v>
      </c>
      <c r="B93" s="653"/>
      <c r="C93" s="323">
        <f t="shared" ref="C93:M93" si="2">AVERAGE(C82:C92)</f>
        <v>938564.27272727271</v>
      </c>
      <c r="D93" s="324">
        <f t="shared" si="2"/>
        <v>0.67788825900389649</v>
      </c>
      <c r="E93" s="162">
        <f t="shared" si="2"/>
        <v>32.50657360196486</v>
      </c>
      <c r="F93" s="162">
        <f t="shared" si="2"/>
        <v>150785.18181818182</v>
      </c>
      <c r="G93" s="324">
        <f t="shared" si="2"/>
        <v>0.11113568236637456</v>
      </c>
      <c r="H93" s="162">
        <f t="shared" si="2"/>
        <v>5.6021232724271606</v>
      </c>
      <c r="I93" s="162">
        <f t="shared" si="2"/>
        <v>242508</v>
      </c>
      <c r="J93" s="324">
        <f t="shared" si="2"/>
        <v>0.17375040694466548</v>
      </c>
      <c r="K93" s="325">
        <f t="shared" si="2"/>
        <v>8.5892470821868407</v>
      </c>
      <c r="L93" s="162">
        <f t="shared" si="2"/>
        <v>1331857.4545454546</v>
      </c>
      <c r="M93" s="163">
        <f t="shared" si="2"/>
        <v>46.697943956578861</v>
      </c>
    </row>
    <row r="94" spans="1:13" ht="14.25" thickTop="1" thickBot="1" x14ac:dyDescent="0.25">
      <c r="A94" s="94"/>
      <c r="B94" s="119"/>
      <c r="C94" s="331"/>
      <c r="D94" s="332"/>
      <c r="E94" s="165"/>
      <c r="F94" s="333"/>
      <c r="G94" s="334"/>
      <c r="H94" s="335"/>
      <c r="I94" s="336"/>
      <c r="J94" s="334"/>
      <c r="K94" s="336"/>
      <c r="L94" s="336"/>
      <c r="M94" s="337"/>
    </row>
    <row r="95" spans="1:13" ht="13.5" thickTop="1" x14ac:dyDescent="0.2">
      <c r="A95" s="654" t="s">
        <v>1883</v>
      </c>
      <c r="B95" s="673"/>
      <c r="C95" s="338">
        <f t="shared" ref="C95:M95" si="3">AVERAGE(C82:C92,C68:C79,C62:C65,C59:C60,C8:C57)</f>
        <v>1976198.6075949366</v>
      </c>
      <c r="D95" s="339">
        <f t="shared" si="3"/>
        <v>0.67592712127010812</v>
      </c>
      <c r="E95" s="340">
        <f t="shared" si="3"/>
        <v>15.989693287108153</v>
      </c>
      <c r="F95" s="340">
        <f t="shared" si="3"/>
        <v>326642.45569620252</v>
      </c>
      <c r="G95" s="339">
        <f t="shared" si="3"/>
        <v>0.10167323601606083</v>
      </c>
      <c r="H95" s="340">
        <f t="shared" si="3"/>
        <v>2.478101987370446</v>
      </c>
      <c r="I95" s="340">
        <f t="shared" si="3"/>
        <v>535716.81012658228</v>
      </c>
      <c r="J95" s="339">
        <f t="shared" si="3"/>
        <v>0.17062407166462093</v>
      </c>
      <c r="K95" s="340">
        <f t="shared" si="3"/>
        <v>4.1498607200083963</v>
      </c>
      <c r="L95" s="340">
        <f t="shared" si="3"/>
        <v>2838557.8734177216</v>
      </c>
      <c r="M95" s="341">
        <f t="shared" si="3"/>
        <v>22.617655994486988</v>
      </c>
    </row>
  </sheetData>
  <mergeCells count="6">
    <mergeCell ref="A95:B95"/>
    <mergeCell ref="B4:B6"/>
    <mergeCell ref="A66:B66"/>
    <mergeCell ref="A67:B67"/>
    <mergeCell ref="A80:B80"/>
    <mergeCell ref="A93:B9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5"/>
  <sheetViews>
    <sheetView workbookViewId="0">
      <selection activeCell="K9" sqref="K9"/>
    </sheetView>
  </sheetViews>
  <sheetFormatPr defaultColWidth="8.85546875" defaultRowHeight="15" x14ac:dyDescent="0.25"/>
  <cols>
    <col min="1" max="1" width="8.28515625" customWidth="1"/>
    <col min="2" max="2" width="18.42578125" customWidth="1"/>
    <col min="3" max="4" width="14.140625" style="286" customWidth="1"/>
    <col min="5" max="5" width="17" style="286" customWidth="1"/>
    <col min="6" max="6" width="15.85546875" style="404" customWidth="1"/>
    <col min="7" max="7" width="11.140625" style="404" customWidth="1"/>
    <col min="8" max="8" width="12.85546875" style="404" customWidth="1"/>
  </cols>
  <sheetData>
    <row r="1" spans="1:8" x14ac:dyDescent="0.25">
      <c r="A1" s="16"/>
      <c r="B1" s="16"/>
      <c r="C1" s="283"/>
      <c r="D1" s="283"/>
      <c r="E1" s="283"/>
      <c r="F1" s="370"/>
      <c r="G1" s="370"/>
      <c r="H1" s="15" t="s">
        <v>2271</v>
      </c>
    </row>
    <row r="2" spans="1:8" ht="15.75" x14ac:dyDescent="0.25">
      <c r="A2" s="207" t="s">
        <v>2037</v>
      </c>
      <c r="B2" s="371"/>
      <c r="C2" s="372"/>
      <c r="D2" s="372"/>
      <c r="E2" s="372"/>
      <c r="F2" s="373"/>
      <c r="G2" s="373"/>
      <c r="H2" s="22" t="s">
        <v>2004</v>
      </c>
    </row>
    <row r="3" spans="1:8" ht="15.75" thickBot="1" x14ac:dyDescent="0.3">
      <c r="A3" s="371"/>
      <c r="B3" s="371"/>
      <c r="C3" s="372"/>
      <c r="D3" s="372"/>
      <c r="E3" s="372"/>
      <c r="F3" s="373"/>
      <c r="G3" s="373"/>
      <c r="H3" s="373"/>
    </row>
    <row r="4" spans="1:8" ht="15.75" thickTop="1" x14ac:dyDescent="0.25">
      <c r="A4" s="96"/>
      <c r="B4" s="638"/>
      <c r="C4" s="374" t="s">
        <v>2038</v>
      </c>
      <c r="D4" s="98" t="s">
        <v>2038</v>
      </c>
      <c r="E4" s="98" t="s">
        <v>2038</v>
      </c>
      <c r="F4" s="375" t="s">
        <v>1873</v>
      </c>
      <c r="G4" s="376" t="s">
        <v>2036</v>
      </c>
      <c r="H4" s="377" t="s">
        <v>2033</v>
      </c>
    </row>
    <row r="5" spans="1:8" x14ac:dyDescent="0.25">
      <c r="A5" s="99"/>
      <c r="B5" s="683"/>
      <c r="C5" s="378" t="s">
        <v>2031</v>
      </c>
      <c r="D5" s="102" t="s">
        <v>2039</v>
      </c>
      <c r="E5" s="102" t="s">
        <v>2031</v>
      </c>
      <c r="F5" s="379" t="s">
        <v>2040</v>
      </c>
      <c r="G5" s="380" t="s">
        <v>2041</v>
      </c>
      <c r="H5" s="381" t="s">
        <v>2042</v>
      </c>
    </row>
    <row r="6" spans="1:8" ht="15.75" thickBot="1" x14ac:dyDescent="0.3">
      <c r="A6" s="103"/>
      <c r="B6" s="684"/>
      <c r="C6" s="382" t="s">
        <v>2043</v>
      </c>
      <c r="D6" s="105" t="s">
        <v>2043</v>
      </c>
      <c r="E6" s="105" t="s">
        <v>2044</v>
      </c>
      <c r="F6" s="383" t="s">
        <v>2045</v>
      </c>
      <c r="G6" s="384" t="s">
        <v>2046</v>
      </c>
      <c r="H6" s="385" t="s">
        <v>1881</v>
      </c>
    </row>
    <row r="7" spans="1:8" ht="16.5" thickTop="1" thickBot="1" x14ac:dyDescent="0.3">
      <c r="A7" s="34"/>
      <c r="B7" s="49" t="s">
        <v>1863</v>
      </c>
      <c r="C7" s="225"/>
      <c r="D7" s="225"/>
      <c r="E7" s="225"/>
      <c r="F7" s="386"/>
      <c r="G7" s="387"/>
      <c r="H7" s="388"/>
    </row>
    <row r="8" spans="1:8" ht="15.75" thickTop="1" x14ac:dyDescent="0.25">
      <c r="A8" s="40" t="s">
        <v>666</v>
      </c>
      <c r="B8" s="40" t="s">
        <v>1927</v>
      </c>
      <c r="C8" s="95">
        <f>'Table 7'!C8/'Table 7'!$F8</f>
        <v>0.58388297451097959</v>
      </c>
      <c r="D8" s="95">
        <f>'Table 7'!D8/'Table 7'!$F8</f>
        <v>5.0740460001583873E-2</v>
      </c>
      <c r="E8" s="95">
        <f>'Table 7'!E8/'Table 7'!$F8</f>
        <v>0.36537656548743652</v>
      </c>
      <c r="F8" s="389">
        <f>'Table 7'!F8/'Table 1'!D8</f>
        <v>1.1114590013454551</v>
      </c>
      <c r="G8" s="115">
        <f>'Table 7'!K8/'Table 1'!D8</f>
        <v>0.34383291209274836</v>
      </c>
      <c r="H8" s="390">
        <f>'Table 7'!G8/('Table 1'!D8/1000)</f>
        <v>1.7604084147522225</v>
      </c>
    </row>
    <row r="9" spans="1:8" x14ac:dyDescent="0.25">
      <c r="A9" s="40" t="s">
        <v>711</v>
      </c>
      <c r="B9" s="40" t="s">
        <v>1928</v>
      </c>
      <c r="C9" s="95">
        <f>'Table 7'!C9/'Table 7'!$F9</f>
        <v>0.52392270142786623</v>
      </c>
      <c r="D9" s="95">
        <f>'Table 7'!D9/'Table 7'!$F9</f>
        <v>7.0863118635391339E-2</v>
      </c>
      <c r="E9" s="95">
        <f>'Table 7'!E9/'Table 7'!$F9</f>
        <v>0.40521417993674241</v>
      </c>
      <c r="F9" s="389">
        <f>'Table 7'!F9/'Table 1'!D9</f>
        <v>1.4287169574757079</v>
      </c>
      <c r="G9" s="115">
        <f>'Table 7'!K9/'Table 1'!D9</f>
        <v>1.3868456796572981</v>
      </c>
      <c r="H9" s="390">
        <f>'Table 7'!G9/('Table 1'!D9/1000)</f>
        <v>1.80231950684359</v>
      </c>
    </row>
    <row r="10" spans="1:8" x14ac:dyDescent="0.25">
      <c r="A10" s="40" t="s">
        <v>775</v>
      </c>
      <c r="B10" s="40" t="s">
        <v>1929</v>
      </c>
      <c r="C10" s="95">
        <f>'Table 7'!C10/'Table 7'!$F10</f>
        <v>0.69690927218344967</v>
      </c>
      <c r="D10" s="95">
        <f>'Table 7'!D10/'Table 7'!$F10</f>
        <v>6.3271723291663474E-4</v>
      </c>
      <c r="E10" s="95">
        <f>'Table 7'!E10/'Table 7'!$F10</f>
        <v>0.3024580105836337</v>
      </c>
      <c r="F10" s="389">
        <f>'Table 7'!F10/'Table 1'!D10</f>
        <v>1.5044855337929444</v>
      </c>
      <c r="G10" s="115">
        <f>'Table 7'!K10/'Table 1'!D10</f>
        <v>1.5256584071307007</v>
      </c>
      <c r="H10" s="390">
        <f>'Table 7'!G10/('Table 1'!D10/1000)</f>
        <v>1.0961433063143624</v>
      </c>
    </row>
    <row r="11" spans="1:8" x14ac:dyDescent="0.25">
      <c r="A11" s="40" t="s">
        <v>804</v>
      </c>
      <c r="B11" s="40" t="s">
        <v>1930</v>
      </c>
      <c r="C11" s="95">
        <f>'Table 7'!C11/'Table 7'!$F11</f>
        <v>0.58104215262641323</v>
      </c>
      <c r="D11" s="95">
        <f>'Table 7'!D11/'Table 7'!$F11</f>
        <v>0</v>
      </c>
      <c r="E11" s="95">
        <f>'Table 7'!E11/'Table 7'!$F11</f>
        <v>0.27793710884223677</v>
      </c>
      <c r="F11" s="389">
        <f>'Table 7'!F11/'Table 1'!D11</f>
        <v>1.2282270058708415</v>
      </c>
      <c r="G11" s="115">
        <f>'Table 7'!K11/'Table 1'!D11</f>
        <v>0.43747162426614483</v>
      </c>
      <c r="H11" s="390">
        <f>'Table 7'!G11/('Table 1'!D11/1000)</f>
        <v>1.0176125244618395</v>
      </c>
    </row>
    <row r="12" spans="1:8" x14ac:dyDescent="0.25">
      <c r="A12" s="40" t="s">
        <v>818</v>
      </c>
      <c r="B12" s="40" t="s">
        <v>1931</v>
      </c>
      <c r="C12" s="95">
        <f>'Table 7'!C12/'Table 7'!$F12</f>
        <v>0.58386308752738725</v>
      </c>
      <c r="D12" s="95">
        <f>'Table 7'!D12/'Table 7'!$F12</f>
        <v>5.2613587295494889E-2</v>
      </c>
      <c r="E12" s="95">
        <f>'Table 7'!E12/'Table 7'!$F12</f>
        <v>0.36352332517711783</v>
      </c>
      <c r="F12" s="389">
        <f>'Table 7'!F12/'Table 1'!D12</f>
        <v>1.9358374031562735</v>
      </c>
      <c r="G12" s="115">
        <f>'Table 7'!K12/'Table 1'!D12</f>
        <v>0.35222479354194564</v>
      </c>
      <c r="H12" s="390">
        <f>'Table 7'!G12/('Table 1'!D12/1000)</f>
        <v>2.3606263012468749</v>
      </c>
    </row>
    <row r="13" spans="1:8" x14ac:dyDescent="0.25">
      <c r="A13" s="40" t="s">
        <v>831</v>
      </c>
      <c r="B13" s="40" t="s">
        <v>1932</v>
      </c>
      <c r="C13" s="95">
        <f>'Table 7'!C13/'Table 7'!$F13</f>
        <v>0.58865940906961423</v>
      </c>
      <c r="D13" s="95">
        <f>'Table 7'!D13/'Table 7'!$F13</f>
        <v>7.4322875723576071E-2</v>
      </c>
      <c r="E13" s="95">
        <f>'Table 7'!E13/'Table 7'!$F13</f>
        <v>0.33701771520680973</v>
      </c>
      <c r="F13" s="389">
        <f>'Table 7'!F13/'Table 1'!D13</f>
        <v>1.4032446767022853</v>
      </c>
      <c r="G13" s="115">
        <f>'Table 7'!K13/'Table 1'!D13</f>
        <v>0.89021360045461129</v>
      </c>
      <c r="H13" s="390">
        <f>'Table 7'!G13/('Table 1'!D13/1000)</f>
        <v>1.0028190357337849</v>
      </c>
    </row>
    <row r="14" spans="1:8" x14ac:dyDescent="0.25">
      <c r="A14" s="40" t="s">
        <v>843</v>
      </c>
      <c r="B14" s="40" t="s">
        <v>1933</v>
      </c>
      <c r="C14" s="95">
        <f>'Table 7'!C14/'Table 7'!$F14</f>
        <v>0.4190473698571765</v>
      </c>
      <c r="D14" s="95">
        <f>'Table 7'!D14/'Table 7'!$F14</f>
        <v>0</v>
      </c>
      <c r="E14" s="95">
        <f>'Table 7'!E14/'Table 7'!$F14</f>
        <v>0.53828125876060151</v>
      </c>
      <c r="F14" s="389">
        <f>'Table 7'!F14/'Table 1'!D14</f>
        <v>1.3332452918574924</v>
      </c>
      <c r="G14" s="115">
        <f>'Table 7'!K14/'Table 1'!D14</f>
        <v>0.28292709667452393</v>
      </c>
      <c r="H14" s="390">
        <f>'Table 7'!G14/('Table 1'!D14/1000)</f>
        <v>0.74752196468706233</v>
      </c>
    </row>
    <row r="15" spans="1:8" x14ac:dyDescent="0.25">
      <c r="A15" s="40" t="s">
        <v>855</v>
      </c>
      <c r="B15" s="40" t="s">
        <v>1934</v>
      </c>
      <c r="C15" s="95">
        <f>'Table 7'!C15/'Table 7'!$F15</f>
        <v>0.64186964525950574</v>
      </c>
      <c r="D15" s="95">
        <f>'Table 7'!D15/'Table 7'!$F15</f>
        <v>7.3957374495503783E-2</v>
      </c>
      <c r="E15" s="95">
        <f>'Table 7'!E15/'Table 7'!$F15</f>
        <v>0.28417298024499044</v>
      </c>
      <c r="F15" s="389">
        <f>'Table 7'!F15/'Table 1'!D15</f>
        <v>1.3650026579036389</v>
      </c>
      <c r="G15" s="115">
        <f>'Table 7'!K15/'Table 1'!D15</f>
        <v>1.0786014594307254</v>
      </c>
      <c r="H15" s="390">
        <f>'Table 7'!G15/('Table 1'!D15/1000)</f>
        <v>1.5826608031701541</v>
      </c>
    </row>
    <row r="16" spans="1:8" x14ac:dyDescent="0.25">
      <c r="A16" s="40" t="s">
        <v>868</v>
      </c>
      <c r="B16" s="40" t="s">
        <v>1935</v>
      </c>
      <c r="C16" s="95">
        <f>'Table 7'!C16/'Table 7'!$F16</f>
        <v>0.56920176323755911</v>
      </c>
      <c r="D16" s="95">
        <f>'Table 7'!D16/'Table 7'!$F16</f>
        <v>5.0533751128578254E-2</v>
      </c>
      <c r="E16" s="95">
        <f>'Table 7'!E16/'Table 7'!$F16</f>
        <v>0.38026448563386267</v>
      </c>
      <c r="F16" s="389">
        <f>'Table 7'!F16/'Table 1'!D16</f>
        <v>1.5896829752205666</v>
      </c>
      <c r="G16" s="115">
        <f>'Table 7'!K16/'Table 1'!D16</f>
        <v>3.339946810756047</v>
      </c>
      <c r="H16" s="390">
        <f>'Table 7'!G16/('Table 1'!D16/1000)</f>
        <v>1.30862425598379</v>
      </c>
    </row>
    <row r="17" spans="1:8" x14ac:dyDescent="0.25">
      <c r="A17" s="40" t="s">
        <v>881</v>
      </c>
      <c r="B17" s="40" t="s">
        <v>1936</v>
      </c>
      <c r="C17" s="95">
        <f>'Table 7'!C17/'Table 7'!$F17</f>
        <v>0.52607261581529174</v>
      </c>
      <c r="D17" s="95">
        <f>'Table 7'!D17/'Table 7'!$F17</f>
        <v>7.2525094123212314E-2</v>
      </c>
      <c r="E17" s="95">
        <f>'Table 7'!E17/'Table 7'!$F17</f>
        <v>0.40140229006149597</v>
      </c>
      <c r="F17" s="389">
        <f>'Table 7'!F17/'Table 1'!D17</f>
        <v>1.3290987701105867</v>
      </c>
      <c r="G17" s="115">
        <f>'Table 7'!K17/'Table 1'!D17</f>
        <v>0.76909429152168673</v>
      </c>
      <c r="H17" s="390">
        <f>'Table 7'!G17/('Table 1'!D17/1000)</f>
        <v>2.0584283598029418</v>
      </c>
    </row>
    <row r="18" spans="1:8" x14ac:dyDescent="0.25">
      <c r="A18" s="40" t="s">
        <v>932</v>
      </c>
      <c r="B18" s="40" t="s">
        <v>1937</v>
      </c>
      <c r="C18" s="95">
        <f>'Table 7'!C18/'Table 7'!$F18</f>
        <v>0.68157924309206008</v>
      </c>
      <c r="D18" s="95">
        <f>'Table 7'!D18/'Table 7'!$F18</f>
        <v>6.4365892944099695E-2</v>
      </c>
      <c r="E18" s="95">
        <f>'Table 7'!E18/'Table 7'!$F18</f>
        <v>0.25405486396384025</v>
      </c>
      <c r="F18" s="389">
        <f>'Table 7'!F18/'Table 1'!D18</f>
        <v>1.0928280981360696</v>
      </c>
      <c r="G18" s="115">
        <f>'Table 7'!K18/'Table 1'!D18</f>
        <v>1.0796195726332452</v>
      </c>
      <c r="H18" s="390">
        <f>'Table 7'!G18/('Table 1'!D18/1000)</f>
        <v>3.6159703081079604</v>
      </c>
    </row>
    <row r="19" spans="1:8" x14ac:dyDescent="0.25">
      <c r="A19" s="40" t="s">
        <v>947</v>
      </c>
      <c r="B19" s="40" t="s">
        <v>1938</v>
      </c>
      <c r="C19" s="95">
        <f>'Table 7'!C19/'Table 7'!$F19</f>
        <v>0.6098433864421281</v>
      </c>
      <c r="D19" s="95">
        <f>'Table 7'!D19/'Table 7'!$F19</f>
        <v>3.7353533456453918E-2</v>
      </c>
      <c r="E19" s="95">
        <f>'Table 7'!E19/'Table 7'!$F19</f>
        <v>0.35280308010141798</v>
      </c>
      <c r="F19" s="389">
        <f>'Table 7'!F19/'Table 1'!D19</f>
        <v>1.0817146533334838</v>
      </c>
      <c r="G19" s="115">
        <f>'Table 7'!K19/'Table 1'!D19</f>
        <v>0.89300346497217864</v>
      </c>
      <c r="H19" s="390">
        <f>'Table 7'!G19/('Table 1'!D19/1000)</f>
        <v>0.99321678084897458</v>
      </c>
    </row>
    <row r="20" spans="1:8" x14ac:dyDescent="0.25">
      <c r="A20" s="40" t="s">
        <v>961</v>
      </c>
      <c r="B20" s="40" t="s">
        <v>1939</v>
      </c>
      <c r="C20" s="95">
        <f>'Table 7'!C20/'Table 7'!$F20</f>
        <v>0.65693976805087917</v>
      </c>
      <c r="D20" s="95">
        <f>'Table 7'!D20/'Table 7'!$F20</f>
        <v>5.5145149672512855E-2</v>
      </c>
      <c r="E20" s="95">
        <f>'Table 7'!E20/'Table 7'!$F20</f>
        <v>0.287915082276608</v>
      </c>
      <c r="F20" s="389">
        <f>'Table 7'!F20/'Table 1'!D20</f>
        <v>3.1319471162253856</v>
      </c>
      <c r="G20" s="115">
        <f>'Table 7'!K20/'Table 1'!D20</f>
        <v>1.3869224581161903</v>
      </c>
      <c r="H20" s="390">
        <f>'Table 7'!G20/('Table 1'!D20/1000)</f>
        <v>6.1382952677415972</v>
      </c>
    </row>
    <row r="21" spans="1:8" x14ac:dyDescent="0.25">
      <c r="A21" s="40" t="s">
        <v>991</v>
      </c>
      <c r="B21" s="40" t="s">
        <v>1940</v>
      </c>
      <c r="C21" s="95">
        <f>'Table 7'!C21/'Table 7'!$F21</f>
        <v>0.51826112640695376</v>
      </c>
      <c r="D21" s="95">
        <f>'Table 7'!D21/'Table 7'!$F21</f>
        <v>7.5301961032522124E-2</v>
      </c>
      <c r="E21" s="95">
        <f>'Table 7'!E21/'Table 7'!$F21</f>
        <v>0.40643691256052406</v>
      </c>
      <c r="F21" s="389">
        <f>'Table 7'!F21/'Table 1'!D21</f>
        <v>1.4370846269525566</v>
      </c>
      <c r="G21" s="115">
        <f>'Table 7'!K21/'Table 1'!D21</f>
        <v>0.27397035994954883</v>
      </c>
      <c r="H21" s="390">
        <f>'Table 7'!G21/('Table 1'!D21/1000)</f>
        <v>2.1708547589017173</v>
      </c>
    </row>
    <row r="22" spans="1:8" x14ac:dyDescent="0.25">
      <c r="A22" s="40" t="s">
        <v>1007</v>
      </c>
      <c r="B22" s="40" t="s">
        <v>1941</v>
      </c>
      <c r="C22" s="95">
        <f>'Table 7'!C22/'Table 7'!$F22</f>
        <v>0.65113665111423513</v>
      </c>
      <c r="D22" s="95">
        <f>'Table 7'!D22/'Table 7'!$F22</f>
        <v>7.330030709914595E-2</v>
      </c>
      <c r="E22" s="95">
        <f>'Table 7'!E22/'Table 7'!$F22</f>
        <v>0.27556304178661895</v>
      </c>
      <c r="F22" s="389">
        <f>'Table 7'!F22/'Table 1'!D22</f>
        <v>1.9501711131095123</v>
      </c>
      <c r="G22" s="115">
        <f>'Table 7'!K22/'Table 1'!D22</f>
        <v>0.69368255395683454</v>
      </c>
      <c r="H22" s="390">
        <f>'Table 7'!G22/('Table 1'!D22/1000)</f>
        <v>10.104416466826539</v>
      </c>
    </row>
    <row r="23" spans="1:8" x14ac:dyDescent="0.25">
      <c r="A23" s="40" t="s">
        <v>1024</v>
      </c>
      <c r="B23" s="40" t="s">
        <v>1942</v>
      </c>
      <c r="C23" s="95">
        <f>'Table 7'!C23/'Table 7'!$F23</f>
        <v>0.58271366354381104</v>
      </c>
      <c r="D23" s="95">
        <f>'Table 7'!D23/'Table 7'!$F23</f>
        <v>4.9909675251018776E-2</v>
      </c>
      <c r="E23" s="95">
        <f>'Table 7'!E23/'Table 7'!$F23</f>
        <v>0.36737666120517021</v>
      </c>
      <c r="F23" s="389">
        <f>'Table 7'!F23/'Table 1'!D23</f>
        <v>1.6917154296273482</v>
      </c>
      <c r="G23" s="115">
        <f>'Table 7'!K23/'Table 1'!D23</f>
        <v>1.8802207955272323</v>
      </c>
      <c r="H23" s="390">
        <f>'Table 7'!G23/('Table 1'!D23/1000)</f>
        <v>2.0610741275970721</v>
      </c>
    </row>
    <row r="24" spans="1:8" x14ac:dyDescent="0.25">
      <c r="A24" s="40" t="s">
        <v>1037</v>
      </c>
      <c r="B24" s="40" t="s">
        <v>1943</v>
      </c>
      <c r="C24" s="95">
        <f>'Table 7'!C24/'Table 7'!$F24</f>
        <v>0.57953997104712884</v>
      </c>
      <c r="D24" s="95">
        <f>'Table 7'!D24/'Table 7'!$F24</f>
        <v>1.410524492396778E-2</v>
      </c>
      <c r="E24" s="95">
        <f>'Table 7'!E24/'Table 7'!$F24</f>
        <v>0.4063547840289034</v>
      </c>
      <c r="F24" s="389">
        <f>'Table 7'!F24/'Table 1'!D24</f>
        <v>1.3561253083208886</v>
      </c>
      <c r="G24" s="115">
        <f>'Table 7'!K24/'Table 1'!D24</f>
        <v>1.3276003825695923</v>
      </c>
      <c r="H24" s="390">
        <f>'Table 7'!G24/('Table 1'!D24/1000)</f>
        <v>0.73829219591590178</v>
      </c>
    </row>
    <row r="25" spans="1:8" x14ac:dyDescent="0.25">
      <c r="A25" s="40" t="s">
        <v>1053</v>
      </c>
      <c r="B25" s="40" t="s">
        <v>1944</v>
      </c>
      <c r="C25" s="95">
        <f>'Table 7'!C25/'Table 7'!$F25</f>
        <v>0.53942549251715322</v>
      </c>
      <c r="D25" s="95">
        <f>'Table 7'!D25/'Table 7'!$F25</f>
        <v>4.7964064523550648E-2</v>
      </c>
      <c r="E25" s="95">
        <f>'Table 7'!E25/'Table 7'!$F25</f>
        <v>0.41261044295929611</v>
      </c>
      <c r="F25" s="389">
        <f>'Table 7'!F25/'Table 1'!D25</f>
        <v>1.8064284756669795</v>
      </c>
      <c r="G25" s="115">
        <f>'Table 7'!K25/'Table 1'!D25</f>
        <v>0.22681994905483308</v>
      </c>
      <c r="H25" s="390">
        <f>'Table 7'!G25/('Table 1'!D25/1000)</f>
        <v>1.4479152701434508</v>
      </c>
    </row>
    <row r="26" spans="1:8" x14ac:dyDescent="0.25">
      <c r="A26" s="40" t="s">
        <v>1086</v>
      </c>
      <c r="B26" s="40" t="s">
        <v>1945</v>
      </c>
      <c r="C26" s="95">
        <f>'Table 7'!C26/'Table 7'!$F26</f>
        <v>0.68959966068037437</v>
      </c>
      <c r="D26" s="95">
        <f>'Table 7'!D26/'Table 7'!$F26</f>
        <v>2.5015182625292808E-2</v>
      </c>
      <c r="E26" s="95">
        <f>'Table 7'!E26/'Table 7'!$F26</f>
        <v>0.28538515669433279</v>
      </c>
      <c r="F26" s="389">
        <f>'Table 7'!F26/'Table 1'!D26</f>
        <v>1.9389368621733767</v>
      </c>
      <c r="G26" s="115">
        <f>'Table 7'!K26/'Table 1'!D26</f>
        <v>0.98841164816268545</v>
      </c>
      <c r="H26" s="390">
        <f>'Table 7'!G26/('Table 1'!D26/1000)</f>
        <v>1.8690890060184666</v>
      </c>
    </row>
    <row r="27" spans="1:8" x14ac:dyDescent="0.25">
      <c r="A27" s="40" t="s">
        <v>1132</v>
      </c>
      <c r="B27" s="40" t="s">
        <v>1946</v>
      </c>
      <c r="C27" s="95">
        <f>'Table 7'!C27/'Table 7'!$F27</f>
        <v>0.61333868620464693</v>
      </c>
      <c r="D27" s="95">
        <f>'Table 7'!D27/'Table 7'!$F27</f>
        <v>3.3373479868185542E-2</v>
      </c>
      <c r="E27" s="95">
        <f>'Table 7'!E27/'Table 7'!$F27</f>
        <v>0.3532878339271675</v>
      </c>
      <c r="F27" s="389">
        <f>'Table 7'!F27/'Table 1'!D27</f>
        <v>1.6195853302376237</v>
      </c>
      <c r="G27" s="115">
        <f>'Table 7'!K27/'Table 1'!D27</f>
        <v>0.3274661147128386</v>
      </c>
      <c r="H27" s="390">
        <f>'Table 7'!G27/('Table 1'!D27/1000)</f>
        <v>4.1396537103813733</v>
      </c>
    </row>
    <row r="28" spans="1:8" x14ac:dyDescent="0.25">
      <c r="A28" s="40" t="s">
        <v>1146</v>
      </c>
      <c r="B28" s="40" t="s">
        <v>1947</v>
      </c>
      <c r="C28" s="95">
        <f>'Table 7'!C28/'Table 7'!$F28</f>
        <v>0.58164626605513525</v>
      </c>
      <c r="D28" s="95">
        <f>'Table 7'!D28/'Table 7'!$F28</f>
        <v>3.6711362994556594E-2</v>
      </c>
      <c r="E28" s="95">
        <f>'Table 7'!E28/'Table 7'!$F28</f>
        <v>0.38164237095030817</v>
      </c>
      <c r="F28" s="389">
        <f>'Table 7'!F28/'Table 1'!D28</f>
        <v>1.5691496676598671</v>
      </c>
      <c r="G28" s="115">
        <f>'Table 7'!K28/'Table 1'!D28</f>
        <v>1.2089693635877454</v>
      </c>
      <c r="H28" s="390">
        <f>'Table 7'!G28/('Table 1'!D28/1000)</f>
        <v>1.6502406600962642</v>
      </c>
    </row>
    <row r="29" spans="1:8" x14ac:dyDescent="0.25">
      <c r="A29" s="40" t="s">
        <v>1161</v>
      </c>
      <c r="B29" s="40" t="s">
        <v>1176</v>
      </c>
      <c r="C29" s="95">
        <f>'Table 7'!C29/'Table 7'!$F29</f>
        <v>0.6080024477287993</v>
      </c>
      <c r="D29" s="95">
        <f>'Table 7'!D29/'Table 7'!$F29</f>
        <v>5.0130633182501605E-2</v>
      </c>
      <c r="E29" s="95">
        <f>'Table 7'!E29/'Table 7'!$F29</f>
        <v>0.34186691908869909</v>
      </c>
      <c r="F29" s="389">
        <f>'Table 7'!F29/'Table 1'!D29</f>
        <v>1.9511270305438571</v>
      </c>
      <c r="G29" s="115">
        <f>'Table 7'!K29/'Table 1'!D29</f>
        <v>0.42183542975472571</v>
      </c>
      <c r="H29" s="390">
        <f>'Table 7'!G29/('Table 1'!D29/1000)</f>
        <v>1.4131605826139273</v>
      </c>
    </row>
    <row r="30" spans="1:8" x14ac:dyDescent="0.25">
      <c r="A30" s="40" t="s">
        <v>1187</v>
      </c>
      <c r="B30" s="40" t="s">
        <v>1948</v>
      </c>
      <c r="C30" s="95">
        <f>'Table 7'!C30/'Table 7'!$F30</f>
        <v>0.61779768993113093</v>
      </c>
      <c r="D30" s="95">
        <f>'Table 7'!D30/'Table 7'!$F30</f>
        <v>6.4247228999941702E-2</v>
      </c>
      <c r="E30" s="95">
        <f>'Table 7'!E30/'Table 7'!$F30</f>
        <v>0.31795508106892734</v>
      </c>
      <c r="F30" s="389">
        <f>'Table 7'!F30/'Table 1'!D30</f>
        <v>2.0204768394662898</v>
      </c>
      <c r="G30" s="115">
        <f>'Table 7'!K30/'Table 1'!D30</f>
        <v>1.3314320327091009</v>
      </c>
      <c r="H30" s="390">
        <f>'Table 7'!G30/('Table 1'!D30/1000)</f>
        <v>2.9444921171739606</v>
      </c>
    </row>
    <row r="31" spans="1:8" x14ac:dyDescent="0.25">
      <c r="A31" s="40" t="s">
        <v>1201</v>
      </c>
      <c r="B31" s="40" t="s">
        <v>1949</v>
      </c>
      <c r="C31" s="95">
        <f>'Table 7'!C31/'Table 7'!$F31</f>
        <v>0.54607569127855027</v>
      </c>
      <c r="D31" s="95">
        <f>'Table 7'!D31/'Table 7'!$F31</f>
        <v>6.0189533649477295E-2</v>
      </c>
      <c r="E31" s="95">
        <f>'Table 7'!E31/'Table 7'!$F31</f>
        <v>0.39373477507197241</v>
      </c>
      <c r="F31" s="389">
        <f>'Table 7'!F31/'Table 1'!D31</f>
        <v>1.2590545048986146</v>
      </c>
      <c r="G31" s="115">
        <f>'Table 7'!K31/'Table 1'!D31</f>
        <v>0.30889634550856176</v>
      </c>
      <c r="H31" s="390">
        <f>'Table 7'!G31/('Table 1'!D31/1000)</f>
        <v>1.6921612552759857</v>
      </c>
    </row>
    <row r="32" spans="1:8" x14ac:dyDescent="0.25">
      <c r="A32" s="40" t="s">
        <v>1218</v>
      </c>
      <c r="B32" s="40" t="s">
        <v>1950</v>
      </c>
      <c r="C32" s="95">
        <f>'Table 7'!C32/'Table 7'!$F32</f>
        <v>0.71545612100204825</v>
      </c>
      <c r="D32" s="95">
        <f>'Table 7'!D32/'Table 7'!$F32</f>
        <v>7.2895331127566833E-3</v>
      </c>
      <c r="E32" s="95">
        <f>'Table 7'!E32/'Table 7'!$F32</f>
        <v>0.2772543458851951</v>
      </c>
      <c r="F32" s="389">
        <f>'Table 7'!F32/'Table 1'!D32</f>
        <v>2.5690115761353516</v>
      </c>
      <c r="G32" s="115">
        <f>'Table 7'!K32/'Table 1'!D32</f>
        <v>1.4216519603874902</v>
      </c>
      <c r="H32" s="390">
        <f>'Table 7'!G32/('Table 1'!D32/1000)</f>
        <v>0.37777597884454522</v>
      </c>
    </row>
    <row r="33" spans="1:8" x14ac:dyDescent="0.25">
      <c r="A33" s="40" t="s">
        <v>1232</v>
      </c>
      <c r="B33" s="40" t="s">
        <v>1951</v>
      </c>
      <c r="C33" s="95">
        <f>'Table 7'!C33/'Table 7'!$F33</f>
        <v>0.51325243011531729</v>
      </c>
      <c r="D33" s="95">
        <f>'Table 7'!D33/'Table 7'!$F33</f>
        <v>3.1823396069003751E-2</v>
      </c>
      <c r="E33" s="95">
        <f>'Table 7'!E33/'Table 7'!$F33</f>
        <v>0.45492417381567896</v>
      </c>
      <c r="F33" s="389">
        <f>'Table 7'!F33/'Table 1'!D33</f>
        <v>1.4147286520736433</v>
      </c>
      <c r="G33" s="115">
        <f>'Table 7'!K33/'Table 1'!D33</f>
        <v>0.61601298308006491</v>
      </c>
      <c r="H33" s="390">
        <f>'Table 7'!G33/('Table 1'!D33/1000)</f>
        <v>0.95509500477547515</v>
      </c>
    </row>
    <row r="34" spans="1:8" x14ac:dyDescent="0.25">
      <c r="A34" s="40" t="s">
        <v>1256</v>
      </c>
      <c r="B34" s="40" t="s">
        <v>1952</v>
      </c>
      <c r="C34" s="95">
        <f>'Table 7'!C34/'Table 7'!$F34</f>
        <v>0.69997543865035383</v>
      </c>
      <c r="D34" s="95">
        <f>'Table 7'!D34/'Table 7'!$F34</f>
        <v>3.3441812627603887E-2</v>
      </c>
      <c r="E34" s="95">
        <f>'Table 7'!E34/'Table 7'!$F34</f>
        <v>0.2665827487220423</v>
      </c>
      <c r="F34" s="389">
        <f>'Table 7'!F34/'Table 1'!D34</f>
        <v>2.1091774457269592</v>
      </c>
      <c r="G34" s="115">
        <f>'Table 7'!K34/'Table 1'!D34</f>
        <v>1.4477343737352479</v>
      </c>
      <c r="H34" s="390">
        <f>'Table 7'!G34/('Table 1'!D34/1000)</f>
        <v>3.6748636091369735</v>
      </c>
    </row>
    <row r="35" spans="1:8" x14ac:dyDescent="0.25">
      <c r="A35" s="40" t="s">
        <v>1268</v>
      </c>
      <c r="B35" s="40" t="s">
        <v>1953</v>
      </c>
      <c r="C35" s="95">
        <f>'Table 7'!C35/'Table 7'!$F35</f>
        <v>0.64186055605521453</v>
      </c>
      <c r="D35" s="95">
        <f>'Table 7'!D35/'Table 7'!$F35</f>
        <v>5.5754115668869508E-2</v>
      </c>
      <c r="E35" s="95">
        <f>'Table 7'!E35/'Table 7'!$F35</f>
        <v>0.30238532827591602</v>
      </c>
      <c r="F35" s="389">
        <f>'Table 7'!F35/'Table 1'!D35</f>
        <v>2.2356952397604579</v>
      </c>
      <c r="G35" s="115">
        <f>'Table 7'!K35/'Table 1'!D35</f>
        <v>0.79932683481225686</v>
      </c>
      <c r="H35" s="390">
        <f>'Table 7'!G35/('Table 1'!D35/1000)</f>
        <v>2.7451151811863443</v>
      </c>
    </row>
    <row r="36" spans="1:8" x14ac:dyDescent="0.25">
      <c r="A36" s="40" t="s">
        <v>1328</v>
      </c>
      <c r="B36" s="40" t="s">
        <v>1954</v>
      </c>
      <c r="C36" s="95">
        <f>'Table 7'!C36/'Table 7'!$F36</f>
        <v>0.63962449146188349</v>
      </c>
      <c r="D36" s="95">
        <f>'Table 7'!D36/'Table 7'!$F36</f>
        <v>5.9769033855218034E-2</v>
      </c>
      <c r="E36" s="95">
        <f>'Table 7'!E36/'Table 7'!$F36</f>
        <v>0.30060647468289847</v>
      </c>
      <c r="F36" s="389">
        <f>'Table 7'!F36/'Table 1'!D36</f>
        <v>1.6780521578582968</v>
      </c>
      <c r="G36" s="115">
        <f>'Table 7'!K36/'Table 1'!D36</f>
        <v>0.47585298124669639</v>
      </c>
      <c r="H36" s="390">
        <f>'Table 7'!G36/('Table 1'!D36/1000)</f>
        <v>0.67747146802855795</v>
      </c>
    </row>
    <row r="37" spans="1:8" x14ac:dyDescent="0.25">
      <c r="A37" s="40" t="s">
        <v>1585</v>
      </c>
      <c r="B37" s="40" t="s">
        <v>1316</v>
      </c>
      <c r="C37" s="95">
        <f>'Table 7'!C37/'Table 7'!$F37</f>
        <v>0.61389793976745555</v>
      </c>
      <c r="D37" s="95">
        <f>'Table 7'!D37/'Table 7'!$F37</f>
        <v>4.8011753513003796E-2</v>
      </c>
      <c r="E37" s="95">
        <f>'Table 7'!E37/'Table 7'!$F37</f>
        <v>0.33809030671954066</v>
      </c>
      <c r="F37" s="389">
        <f>'Table 7'!F37/'Table 1'!D37</f>
        <v>1.3970582181106022</v>
      </c>
      <c r="G37" s="115">
        <f>'Table 7'!K37/'Table 1'!D37</f>
        <v>0.3133627001817294</v>
      </c>
      <c r="H37" s="390">
        <f>'Table 7'!G37/('Table 1'!D37/1000)</f>
        <v>0.29406056471390851</v>
      </c>
    </row>
    <row r="38" spans="1:8" x14ac:dyDescent="0.25">
      <c r="A38" s="40" t="s">
        <v>1352</v>
      </c>
      <c r="B38" s="40" t="s">
        <v>1955</v>
      </c>
      <c r="C38" s="95">
        <f>'Table 7'!C38/'Table 7'!$F38</f>
        <v>0.65813830490546077</v>
      </c>
      <c r="D38" s="95">
        <f>'Table 7'!D38/'Table 7'!$F38</f>
        <v>1.3371016792278196E-2</v>
      </c>
      <c r="E38" s="95">
        <f>'Table 7'!E38/'Table 7'!$F38</f>
        <v>0.32849067830226103</v>
      </c>
      <c r="F38" s="389">
        <f>'Table 7'!F38/'Table 1'!D38</f>
        <v>2.0425359530078997</v>
      </c>
      <c r="G38" s="115">
        <f>'Table 7'!K38/'Table 1'!D38</f>
        <v>1.3355107690230235</v>
      </c>
      <c r="H38" s="390">
        <f>'Table 7'!G38/('Table 1'!D38/1000)</f>
        <v>1.6035379110120855</v>
      </c>
    </row>
    <row r="39" spans="1:8" x14ac:dyDescent="0.25">
      <c r="A39" s="40" t="s">
        <v>1365</v>
      </c>
      <c r="B39" s="40" t="s">
        <v>1956</v>
      </c>
      <c r="C39" s="95">
        <f>'Table 7'!C39/'Table 7'!$F39</f>
        <v>0.61471274436311873</v>
      </c>
      <c r="D39" s="95">
        <f>'Table 7'!D39/'Table 7'!$F39</f>
        <v>5.0359227471426043E-2</v>
      </c>
      <c r="E39" s="95">
        <f>'Table 7'!E39/'Table 7'!$F39</f>
        <v>0.33492802816545519</v>
      </c>
      <c r="F39" s="389">
        <f>'Table 7'!F39/'Table 1'!D39</f>
        <v>1.4473077907671303</v>
      </c>
      <c r="G39" s="115">
        <f>'Table 7'!K39/'Table 1'!D39</f>
        <v>1.1286921117111406</v>
      </c>
      <c r="H39" s="390">
        <f>'Table 7'!G39/('Table 1'!D39/1000)</f>
        <v>2.0113856618677848</v>
      </c>
    </row>
    <row r="40" spans="1:8" x14ac:dyDescent="0.25">
      <c r="A40" s="40" t="s">
        <v>1383</v>
      </c>
      <c r="B40" s="40" t="s">
        <v>1957</v>
      </c>
      <c r="C40" s="95">
        <f>'Table 7'!C40/'Table 7'!$F40</f>
        <v>0.65897858319604607</v>
      </c>
      <c r="D40" s="95">
        <f>'Table 7'!D40/'Table 7'!$F40</f>
        <v>3.6698290064193603E-2</v>
      </c>
      <c r="E40" s="95">
        <f>'Table 7'!E40/'Table 7'!$F40</f>
        <v>0.30432312673976025</v>
      </c>
      <c r="F40" s="389">
        <f>'Table 7'!F40/'Table 1'!D40</f>
        <v>2.4027025797352017</v>
      </c>
      <c r="G40" s="115">
        <f>'Table 7'!K40/'Table 1'!D40</f>
        <v>3.6026206833795897</v>
      </c>
      <c r="H40" s="390">
        <f>'Table 7'!G40/('Table 1'!D40/1000)</f>
        <v>5.0957732380909055</v>
      </c>
    </row>
    <row r="41" spans="1:8" x14ac:dyDescent="0.25">
      <c r="A41" s="40" t="s">
        <v>1397</v>
      </c>
      <c r="B41" s="40" t="s">
        <v>1958</v>
      </c>
      <c r="C41" s="95">
        <f>'Table 7'!C41/'Table 7'!$F41</f>
        <v>0.70331510594668489</v>
      </c>
      <c r="D41" s="95">
        <f>'Table 7'!D41/'Table 7'!$F41</f>
        <v>4.3688767372977902E-2</v>
      </c>
      <c r="E41" s="95">
        <f>'Table 7'!E41/'Table 7'!$F41</f>
        <v>0.25299612668033722</v>
      </c>
      <c r="F41" s="389">
        <f>'Table 7'!F41/'Table 1'!D41</f>
        <v>1.928806855636124</v>
      </c>
      <c r="G41" s="115">
        <f>'Table 7'!K41/'Table 1'!D41</f>
        <v>1.7399033179520984</v>
      </c>
      <c r="H41" s="390">
        <f>'Table 7'!G41/('Table 1'!D41/1000)</f>
        <v>2.680729509997803</v>
      </c>
    </row>
    <row r="42" spans="1:8" x14ac:dyDescent="0.25">
      <c r="A42" s="40" t="s">
        <v>915</v>
      </c>
      <c r="B42" s="40" t="s">
        <v>1959</v>
      </c>
      <c r="C42" s="95">
        <f>'Table 7'!C42/'Table 7'!$F42</f>
        <v>0.52655386841506213</v>
      </c>
      <c r="D42" s="95">
        <f>'Table 7'!D42/'Table 7'!$F42</f>
        <v>7.1358379744096576E-2</v>
      </c>
      <c r="E42" s="95">
        <f>'Table 7'!E42/'Table 7'!$F42</f>
        <v>0.40208775184084133</v>
      </c>
      <c r="F42" s="389">
        <f>'Table 7'!F42/'Table 1'!D42</f>
        <v>0.84226682296437272</v>
      </c>
      <c r="G42" s="115">
        <f>'Table 7'!K42/'Table 1'!D42</f>
        <v>8.5877679643489357E-2</v>
      </c>
      <c r="H42" s="390">
        <f>'Table 7'!G42/('Table 1'!D42/1000)</f>
        <v>1.7635696624254302</v>
      </c>
    </row>
    <row r="43" spans="1:8" x14ac:dyDescent="0.25">
      <c r="A43" s="40" t="s">
        <v>789</v>
      </c>
      <c r="B43" s="40" t="s">
        <v>1960</v>
      </c>
      <c r="C43" s="95">
        <f>'Table 7'!C43/'Table 7'!$F43</f>
        <v>0.47382868065433853</v>
      </c>
      <c r="D43" s="95">
        <f>'Table 7'!D43/'Table 7'!$F43</f>
        <v>6.005512091038407E-2</v>
      </c>
      <c r="E43" s="95">
        <f>'Table 7'!E43/'Table 7'!$F43</f>
        <v>0.46611619843527741</v>
      </c>
      <c r="F43" s="389">
        <f>'Table 7'!F43/'Table 1'!D43</f>
        <v>1.0089023433120305</v>
      </c>
      <c r="G43" s="115">
        <f>'Table 7'!K43/'Table 1'!D43</f>
        <v>0.88710617782262591</v>
      </c>
      <c r="H43" s="390">
        <f>'Table 7'!G43/('Table 1'!D43/1000)</f>
        <v>0.90817356205852673</v>
      </c>
    </row>
    <row r="44" spans="1:8" x14ac:dyDescent="0.25">
      <c r="A44" s="40" t="s">
        <v>1456</v>
      </c>
      <c r="B44" s="40" t="s">
        <v>1961</v>
      </c>
      <c r="C44" s="95">
        <f>'Table 7'!C44/'Table 7'!$F44</f>
        <v>0.65134704642217778</v>
      </c>
      <c r="D44" s="95">
        <f>'Table 7'!D44/'Table 7'!$F44</f>
        <v>3.6961188284931779E-2</v>
      </c>
      <c r="E44" s="95">
        <f>'Table 7'!E44/'Table 7'!$F44</f>
        <v>0.31169176529289039</v>
      </c>
      <c r="F44" s="389">
        <f>'Table 7'!F44/'Table 1'!D44</f>
        <v>1.6312520124503596</v>
      </c>
      <c r="G44" s="115">
        <f>'Table 7'!K44/'Table 1'!D44</f>
        <v>0.41158187542485064</v>
      </c>
      <c r="H44" s="390">
        <f>'Table 7'!G44/('Table 1'!D44/1000)</f>
        <v>1.9990340238274122</v>
      </c>
    </row>
    <row r="45" spans="1:8" x14ac:dyDescent="0.25">
      <c r="A45" s="40" t="s">
        <v>1489</v>
      </c>
      <c r="B45" s="40" t="s">
        <v>1962</v>
      </c>
      <c r="C45" s="95">
        <f>'Table 7'!C45/'Table 7'!$F45</f>
        <v>0.56687448316872158</v>
      </c>
      <c r="D45" s="95">
        <f>'Table 7'!D45/'Table 7'!$F45</f>
        <v>6.8839603445232142E-2</v>
      </c>
      <c r="E45" s="95">
        <f>'Table 7'!E45/'Table 7'!$F45</f>
        <v>0.36428591338604627</v>
      </c>
      <c r="F45" s="389">
        <f>'Table 7'!F45/'Table 1'!D45</f>
        <v>0.55502439225636102</v>
      </c>
      <c r="G45" s="115">
        <f>'Table 7'!K45/'Table 1'!D45</f>
        <v>0.46490712377651949</v>
      </c>
      <c r="H45" s="390">
        <f>'Table 7'!G45/('Table 1'!D45/1000)</f>
        <v>0.40224016832203968</v>
      </c>
    </row>
    <row r="46" spans="1:8" x14ac:dyDescent="0.25">
      <c r="A46" s="40" t="s">
        <v>1501</v>
      </c>
      <c r="B46" s="40" t="s">
        <v>1516</v>
      </c>
      <c r="C46" s="95">
        <f>'Table 7'!C46/'Table 7'!$F46</f>
        <v>0.49760548523206749</v>
      </c>
      <c r="D46" s="95">
        <f>'Table 7'!D46/'Table 7'!$F46</f>
        <v>6.4124472573839658E-2</v>
      </c>
      <c r="E46" s="95">
        <f>'Table 7'!E46/'Table 7'!$F46</f>
        <v>0.43827004219409282</v>
      </c>
      <c r="F46" s="389">
        <f>'Table 7'!F46/'Table 1'!D46</f>
        <v>1.1264124713347037</v>
      </c>
      <c r="G46" s="115">
        <f>'Table 7'!K46/'Table 1'!D46</f>
        <v>0.63840733831584706</v>
      </c>
      <c r="H46" s="390">
        <f>'Table 7'!G46/('Table 1'!D46/1000)</f>
        <v>2.4120435831323297</v>
      </c>
    </row>
    <row r="47" spans="1:8" x14ac:dyDescent="0.25">
      <c r="A47" s="40" t="s">
        <v>1518</v>
      </c>
      <c r="B47" s="40" t="s">
        <v>1963</v>
      </c>
      <c r="C47" s="95">
        <f>'Table 7'!C47/'Table 7'!$F47</f>
        <v>0.60470943258195786</v>
      </c>
      <c r="D47" s="95">
        <f>'Table 7'!D47/'Table 7'!$F47</f>
        <v>3.3587856065109049E-2</v>
      </c>
      <c r="E47" s="95">
        <f>'Table 7'!E47/'Table 7'!$F47</f>
        <v>0.36170271135293308</v>
      </c>
      <c r="F47" s="389">
        <f>'Table 7'!F47/'Table 1'!D47</f>
        <v>1.8391664844682891</v>
      </c>
      <c r="G47" s="115">
        <f>'Table 7'!K47/'Table 1'!D47</f>
        <v>1.3312534687768043</v>
      </c>
      <c r="H47" s="390">
        <f>'Table 7'!G47/('Table 1'!D47/1000)</f>
        <v>1.9509241662321934</v>
      </c>
    </row>
    <row r="48" spans="1:8" x14ac:dyDescent="0.25">
      <c r="A48" s="40" t="s">
        <v>1544</v>
      </c>
      <c r="B48" s="40" t="s">
        <v>1964</v>
      </c>
      <c r="C48" s="95">
        <f>'Table 7'!C48/'Table 7'!$F48</f>
        <v>0.55026089512750787</v>
      </c>
      <c r="D48" s="95">
        <f>'Table 7'!D48/'Table 7'!$F48</f>
        <v>4.7460865730873818E-2</v>
      </c>
      <c r="E48" s="95">
        <f>'Table 7'!E48/'Table 7'!$F48</f>
        <v>0.40227823914161831</v>
      </c>
      <c r="F48" s="389">
        <f>'Table 7'!F48/'Table 1'!D48</f>
        <v>1.7125201369311316</v>
      </c>
      <c r="G48" s="115">
        <f>'Table 7'!K48/'Table 1'!D48</f>
        <v>1.9936316955296014</v>
      </c>
      <c r="H48" s="390">
        <f>'Table 7'!G48/('Table 1'!D48/1000)</f>
        <v>2.4919452275473217</v>
      </c>
    </row>
    <row r="49" spans="1:8" x14ac:dyDescent="0.25">
      <c r="A49" s="40" t="s">
        <v>1727</v>
      </c>
      <c r="B49" s="40" t="s">
        <v>1965</v>
      </c>
      <c r="C49" s="95">
        <f>'Table 7'!C49/'Table 7'!$F49</f>
        <v>0.60386560517622756</v>
      </c>
      <c r="D49" s="95">
        <f>'Table 7'!D49/'Table 7'!$F49</f>
        <v>5.0646541223702289E-2</v>
      </c>
      <c r="E49" s="95">
        <f>'Table 7'!E49/'Table 7'!$F49</f>
        <v>0.34548785360007017</v>
      </c>
      <c r="F49" s="389">
        <f>'Table 7'!F49/'Table 1'!D49</f>
        <v>1.1987617907309522</v>
      </c>
      <c r="G49" s="115">
        <f>'Table 7'!K49/'Table 1'!D49</f>
        <v>0.32254183336740355</v>
      </c>
      <c r="H49" s="390">
        <f>'Table 7'!G49/('Table 1'!D49/1000)</f>
        <v>1.1330782933738281</v>
      </c>
    </row>
    <row r="50" spans="1:8" x14ac:dyDescent="0.25">
      <c r="A50" s="40" t="s">
        <v>1573</v>
      </c>
      <c r="B50" s="40" t="s">
        <v>1966</v>
      </c>
      <c r="C50" s="95">
        <f>'Table 7'!C50/'Table 7'!$F50</f>
        <v>0.66417107183007629</v>
      </c>
      <c r="D50" s="95">
        <f>'Table 7'!D50/'Table 7'!$F50</f>
        <v>6.443896955055374E-2</v>
      </c>
      <c r="E50" s="95">
        <f>'Table 7'!E50/'Table 7'!$F50</f>
        <v>0.27138995861936999</v>
      </c>
      <c r="F50" s="389">
        <f>'Table 7'!F50/'Table 1'!D50</f>
        <v>1.9879695672848312</v>
      </c>
      <c r="G50" s="115">
        <f>'Table 7'!K50/'Table 1'!D50</f>
        <v>4.2452686638135999</v>
      </c>
      <c r="H50" s="390">
        <f>'Table 7'!G50/('Table 1'!D50/1000)</f>
        <v>6.847360912981455</v>
      </c>
    </row>
    <row r="51" spans="1:8" x14ac:dyDescent="0.25">
      <c r="A51" s="40" t="s">
        <v>1597</v>
      </c>
      <c r="B51" s="40" t="s">
        <v>1967</v>
      </c>
      <c r="C51" s="95">
        <f>'Table 7'!C51/'Table 7'!$F51</f>
        <v>0.60556394980153916</v>
      </c>
      <c r="D51" s="95">
        <f>'Table 7'!D51/'Table 7'!$F51</f>
        <v>5.9495197012518299E-2</v>
      </c>
      <c r="E51" s="95">
        <f>'Table 7'!E51/'Table 7'!$F51</f>
        <v>0.33494085318594258</v>
      </c>
      <c r="F51" s="389">
        <f>'Table 7'!F51/'Table 1'!D51</f>
        <v>1.7777607671484541</v>
      </c>
      <c r="G51" s="115">
        <f>'Table 7'!K51/'Table 1'!D51</f>
        <v>0.56667664108113369</v>
      </c>
      <c r="H51" s="390">
        <f>'Table 7'!G51/('Table 1'!D51/1000)</f>
        <v>1.9484902679870009</v>
      </c>
    </row>
    <row r="52" spans="1:8" x14ac:dyDescent="0.25">
      <c r="A52" s="40" t="s">
        <v>1625</v>
      </c>
      <c r="B52" s="40" t="s">
        <v>1968</v>
      </c>
      <c r="C52" s="95">
        <f>'Table 7'!C52/'Table 7'!$F52</f>
        <v>0.69744010502133247</v>
      </c>
      <c r="D52" s="95">
        <f>'Table 7'!D52/'Table 7'!$F52</f>
        <v>4.1327535280603872E-2</v>
      </c>
      <c r="E52" s="95">
        <f>'Table 7'!E52/'Table 7'!$F52</f>
        <v>0.26123235969806369</v>
      </c>
      <c r="F52" s="389">
        <f>'Table 7'!F52/'Table 1'!D52</f>
        <v>0.91876041219083804</v>
      </c>
      <c r="G52" s="115">
        <f>'Table 7'!K52/'Table 1'!D52</f>
        <v>0.39715205379286428</v>
      </c>
      <c r="H52" s="390">
        <f>'Table 7'!G52/('Table 1'!D52/1000)</f>
        <v>0.85935909902982877</v>
      </c>
    </row>
    <row r="53" spans="1:8" x14ac:dyDescent="0.25">
      <c r="A53" s="40" t="s">
        <v>1638</v>
      </c>
      <c r="B53" s="40" t="s">
        <v>1969</v>
      </c>
      <c r="C53" s="95">
        <f>'Table 7'!C53/'Table 7'!$F53</f>
        <v>0.68870355058657173</v>
      </c>
      <c r="D53" s="95">
        <f>'Table 7'!D53/'Table 7'!$F53</f>
        <v>4.4916577792157471E-2</v>
      </c>
      <c r="E53" s="95">
        <f>'Table 7'!E53/'Table 7'!$F53</f>
        <v>0.26637987162127075</v>
      </c>
      <c r="F53" s="389">
        <f>'Table 7'!F53/'Table 1'!D53</f>
        <v>2.724456149133212</v>
      </c>
      <c r="G53" s="115">
        <f>'Table 7'!K53/'Table 1'!D53</f>
        <v>0.57333144704051542</v>
      </c>
      <c r="H53" s="390">
        <f>'Table 7'!G53/('Table 1'!D53/1000)</f>
        <v>2.1656092544427636</v>
      </c>
    </row>
    <row r="54" spans="1:8" x14ac:dyDescent="0.25">
      <c r="A54" s="40" t="s">
        <v>1655</v>
      </c>
      <c r="B54" s="40" t="s">
        <v>1970</v>
      </c>
      <c r="C54" s="95">
        <f>'Table 7'!C54/'Table 7'!$F54</f>
        <v>0.58669271814462076</v>
      </c>
      <c r="D54" s="95">
        <f>'Table 7'!D54/'Table 7'!$F54</f>
        <v>6.2668115269028241E-2</v>
      </c>
      <c r="E54" s="95">
        <f>'Table 7'!E54/'Table 7'!$F54</f>
        <v>0.35063916658635103</v>
      </c>
      <c r="F54" s="389">
        <f>'Table 7'!F54/'Table 1'!D54</f>
        <v>1.619252323189331</v>
      </c>
      <c r="G54" s="115">
        <f>'Table 7'!K54/'Table 1'!D54</f>
        <v>0.6351635099666596</v>
      </c>
      <c r="H54" s="390">
        <f>'Table 7'!G54/('Table 1'!D54/1000)</f>
        <v>1.3690856210541249</v>
      </c>
    </row>
    <row r="55" spans="1:8" x14ac:dyDescent="0.25">
      <c r="A55" s="40" t="s">
        <v>1671</v>
      </c>
      <c r="B55" s="40" t="s">
        <v>1971</v>
      </c>
      <c r="C55" s="95">
        <f>'Table 7'!C55/'Table 7'!$F55</f>
        <v>0.66997144175489798</v>
      </c>
      <c r="D55" s="95">
        <f>'Table 7'!D55/'Table 7'!$F55</f>
        <v>3.0927706486088769E-2</v>
      </c>
      <c r="E55" s="95">
        <f>'Table 7'!E55/'Table 7'!$F55</f>
        <v>0.2991008517590133</v>
      </c>
      <c r="F55" s="389">
        <f>'Table 7'!F55/'Table 1'!D55</f>
        <v>1.1843936014652232</v>
      </c>
      <c r="G55" s="115">
        <f>'Table 7'!K55/'Table 1'!D55</f>
        <v>1.3186712553358049</v>
      </c>
      <c r="H55" s="390">
        <f>'Table 7'!G55/('Table 1'!D55/1000)</f>
        <v>0.78283089375655435</v>
      </c>
    </row>
    <row r="56" spans="1:8" x14ac:dyDescent="0.25">
      <c r="A56" s="40" t="s">
        <v>1683</v>
      </c>
      <c r="B56" s="40" t="s">
        <v>1972</v>
      </c>
      <c r="C56" s="95">
        <f>'Table 7'!C56/'Table 7'!$F56</f>
        <v>0.57853110218198467</v>
      </c>
      <c r="D56" s="95">
        <f>'Table 7'!D56/'Table 7'!$F56</f>
        <v>3.4560805655866944E-2</v>
      </c>
      <c r="E56" s="95">
        <f>'Table 7'!E56/'Table 7'!$F56</f>
        <v>0.38690809216214844</v>
      </c>
      <c r="F56" s="389">
        <f>'Table 7'!F56/'Table 1'!D56</f>
        <v>1.238507693034536</v>
      </c>
      <c r="G56" s="115">
        <f>'Table 7'!K56/'Table 1'!D56</f>
        <v>1.2461771051512622</v>
      </c>
      <c r="H56" s="390">
        <f>'Table 7'!G56/('Table 1'!D56/1000)</f>
        <v>1.6693176270492449</v>
      </c>
    </row>
    <row r="57" spans="1:8" x14ac:dyDescent="0.25">
      <c r="A57" s="40" t="s">
        <v>1714</v>
      </c>
      <c r="B57" s="40" t="s">
        <v>1973</v>
      </c>
      <c r="C57" s="95">
        <f>'Table 7'!C57/'Table 7'!$F57</f>
        <v>0.62529352566252938</v>
      </c>
      <c r="D57" s="95">
        <f>'Table 7'!D57/'Table 7'!$F57</f>
        <v>6.5126755163655528E-2</v>
      </c>
      <c r="E57" s="95">
        <f>'Table 7'!E57/'Table 7'!$F57</f>
        <v>0.3095797191738151</v>
      </c>
      <c r="F57" s="389">
        <f>'Table 7'!F57/'Table 1'!D57</f>
        <v>1.1661124926653441</v>
      </c>
      <c r="G57" s="115">
        <f>'Table 7'!K57/'Table 1'!D57</f>
        <v>2.2107630836290482</v>
      </c>
      <c r="H57" s="390">
        <f>'Table 7'!G57/('Table 1'!D57/1000)</f>
        <v>0.92207102741065683</v>
      </c>
    </row>
    <row r="58" spans="1:8" x14ac:dyDescent="0.25">
      <c r="A58" s="40" t="s">
        <v>1756</v>
      </c>
      <c r="B58" s="40" t="s">
        <v>1974</v>
      </c>
      <c r="C58" s="95">
        <f>'Table 7'!C58/'Table 7'!$F58</f>
        <v>0.6502800752259813</v>
      </c>
      <c r="D58" s="95">
        <f>'Table 7'!D58/'Table 7'!$F58</f>
        <v>3.0272390851550018E-2</v>
      </c>
      <c r="E58" s="95">
        <f>'Table 7'!E58/'Table 7'!$F58</f>
        <v>0.31944753392246872</v>
      </c>
      <c r="F58" s="389">
        <f>'Table 7'!F58/'Table 1'!D58</f>
        <v>1.6016258846010591</v>
      </c>
      <c r="G58" s="115">
        <f>'Table 7'!K58/'Table 1'!D58</f>
        <v>1.2812909912390082</v>
      </c>
      <c r="H58" s="390">
        <f>'Table 7'!G58/('Table 1'!D58/1000)</f>
        <v>4.048517432916066</v>
      </c>
    </row>
    <row r="59" spans="1:8" x14ac:dyDescent="0.25">
      <c r="A59" s="40" t="s">
        <v>1768</v>
      </c>
      <c r="B59" s="40" t="s">
        <v>1975</v>
      </c>
      <c r="C59" s="95">
        <f>'Table 7'!C59/'Table 7'!$F59</f>
        <v>0.63653821117042053</v>
      </c>
      <c r="D59" s="95">
        <f>'Table 7'!D59/'Table 7'!$F59</f>
        <v>5.765850800676995E-2</v>
      </c>
      <c r="E59" s="95">
        <f>'Table 7'!E59/'Table 7'!$F59</f>
        <v>0.30580328082280955</v>
      </c>
      <c r="F59" s="389">
        <f>'Table 7'!F59/'Table 1'!D59</f>
        <v>3.5998711151468994</v>
      </c>
      <c r="G59" s="115">
        <f>'Table 7'!K59/'Table 1'!D59</f>
        <v>2.6688830955798353</v>
      </c>
      <c r="H59" s="390">
        <f>'Table 7'!G59/('Table 1'!D59/1000)</f>
        <v>3.6907935206069302</v>
      </c>
    </row>
    <row r="60" spans="1:8" x14ac:dyDescent="0.25">
      <c r="A60" s="40" t="s">
        <v>1784</v>
      </c>
      <c r="B60" s="40" t="s">
        <v>1976</v>
      </c>
      <c r="C60" s="95">
        <f>'Table 7'!C60/'Table 7'!$F60</f>
        <v>0.54963100532720788</v>
      </c>
      <c r="D60" s="95">
        <f>'Table 7'!D60/'Table 7'!$F60</f>
        <v>6.431748203900102E-2</v>
      </c>
      <c r="E60" s="95">
        <f>'Table 7'!E60/'Table 7'!$F60</f>
        <v>0.38605151263379112</v>
      </c>
      <c r="F60" s="389">
        <f>'Table 7'!F60/'Table 1'!D60</f>
        <v>0.73102739878971934</v>
      </c>
      <c r="G60" s="115">
        <f>'Table 7'!K60/'Table 1'!D60</f>
        <v>0.26402429493334523</v>
      </c>
      <c r="H60" s="390">
        <f>'Table 7'!G60/('Table 1'!D60/1000)</f>
        <v>0.96911774557309693</v>
      </c>
    </row>
    <row r="61" spans="1:8" x14ac:dyDescent="0.25">
      <c r="A61" s="40" t="s">
        <v>1531</v>
      </c>
      <c r="B61" s="40" t="s">
        <v>1977</v>
      </c>
      <c r="C61" s="95">
        <f>'Table 7'!C61/'Table 7'!$F61</f>
        <v>0.64319116437551405</v>
      </c>
      <c r="D61" s="95">
        <f>'Table 7'!D61/'Table 7'!$F61</f>
        <v>4.064152273528375E-2</v>
      </c>
      <c r="E61" s="95">
        <f>'Table 7'!E61/'Table 7'!$F61</f>
        <v>0.31616731288920219</v>
      </c>
      <c r="F61" s="389">
        <f>'Table 7'!F61/'Table 1'!D61</f>
        <v>1.8936477917454666</v>
      </c>
      <c r="G61" s="115">
        <f>'Table 7'!K61/'Table 1'!D61</f>
        <v>1.7620647458004228</v>
      </c>
      <c r="H61" s="390">
        <f>'Table 7'!G61/('Table 1'!D61/1000)</f>
        <v>0.6897318945377684</v>
      </c>
    </row>
    <row r="62" spans="1:8" x14ac:dyDescent="0.25">
      <c r="A62" s="40" t="s">
        <v>1799</v>
      </c>
      <c r="B62" s="40" t="s">
        <v>1978</v>
      </c>
      <c r="C62" s="95">
        <f>'Table 7'!C62/'Table 7'!$F62</f>
        <v>0.49014429864538056</v>
      </c>
      <c r="D62" s="95">
        <f>'Table 7'!D62/'Table 7'!$F62</f>
        <v>5.0906127608399548E-2</v>
      </c>
      <c r="E62" s="95">
        <f>'Table 7'!E62/'Table 7'!$F62</f>
        <v>0.45894957374621992</v>
      </c>
      <c r="F62" s="389">
        <f>'Table 7'!F62/'Table 1'!D62</f>
        <v>1.3314133555653382</v>
      </c>
      <c r="G62" s="115">
        <f>'Table 7'!K62/'Table 1'!D62</f>
        <v>8.3201525593427014E-2</v>
      </c>
      <c r="H62" s="390">
        <f>'Table 7'!G62/('Table 1'!D62/1000)</f>
        <v>1.1755562221694125</v>
      </c>
    </row>
    <row r="63" spans="1:8" x14ac:dyDescent="0.25">
      <c r="A63" s="40" t="s">
        <v>1814</v>
      </c>
      <c r="B63" s="40" t="s">
        <v>1979</v>
      </c>
      <c r="C63" s="95">
        <f>'Table 7'!C63/'Table 7'!$F63</f>
        <v>0.7373191286373032</v>
      </c>
      <c r="D63" s="95">
        <f>'Table 7'!D63/'Table 7'!$F63</f>
        <v>0</v>
      </c>
      <c r="E63" s="95">
        <f>'Table 7'!E63/'Table 7'!$F63</f>
        <v>0.2626808713626968</v>
      </c>
      <c r="F63" s="389">
        <f>'Table 7'!F63/'Table 1'!D63</f>
        <v>1.5627950897072711</v>
      </c>
      <c r="G63" s="115">
        <f>'Table 7'!K63/'Table 1'!D63</f>
        <v>2.6184086278017991</v>
      </c>
      <c r="H63" s="390">
        <f>'Table 7'!G63/('Table 1'!D63/1000)</f>
        <v>6.5603101237513046</v>
      </c>
    </row>
    <row r="64" spans="1:8" x14ac:dyDescent="0.25">
      <c r="A64" s="40" t="s">
        <v>1826</v>
      </c>
      <c r="B64" s="40" t="s">
        <v>1980</v>
      </c>
      <c r="C64" s="95">
        <f>'Table 7'!C64/'Table 7'!$F64</f>
        <v>0.56265504475091044</v>
      </c>
      <c r="D64" s="95">
        <f>'Table 7'!D64/'Table 7'!$F64</f>
        <v>5.2502205499800184E-2</v>
      </c>
      <c r="E64" s="95">
        <f>'Table 7'!E64/'Table 7'!$F64</f>
        <v>0.38484274974928934</v>
      </c>
      <c r="F64" s="389">
        <f>'Table 7'!F64/'Table 1'!D64</f>
        <v>1.0626161784500994</v>
      </c>
      <c r="G64" s="115">
        <f>'Table 7'!K64/'Table 1'!D64</f>
        <v>0.63721876802769051</v>
      </c>
      <c r="H64" s="390">
        <f>'Table 7'!G64/('Table 1'!D64/1000)</f>
        <v>1.7066213704249726</v>
      </c>
    </row>
    <row r="65" spans="1:8" x14ac:dyDescent="0.25">
      <c r="A65" s="40" t="s">
        <v>1842</v>
      </c>
      <c r="B65" s="40" t="s">
        <v>1981</v>
      </c>
      <c r="C65" s="95">
        <f>'Table 7'!C65/'Table 7'!$F65</f>
        <v>0.58591784984652029</v>
      </c>
      <c r="D65" s="95">
        <f>'Table 7'!D65/'Table 7'!$F65</f>
        <v>5.2075312862525279E-2</v>
      </c>
      <c r="E65" s="95">
        <f>'Table 7'!E65/'Table 7'!$F65</f>
        <v>0.36200683729095445</v>
      </c>
      <c r="F65" s="389">
        <f>'Table 7'!F65/'Table 1'!D65</f>
        <v>2.3828126911127963</v>
      </c>
      <c r="G65" s="115">
        <f>'Table 7'!K65/'Table 1'!D65</f>
        <v>0.65627828469385263</v>
      </c>
      <c r="H65" s="390">
        <f>'Table 7'!G65/('Table 1'!D65/1000)</f>
        <v>1.8836077203454098</v>
      </c>
    </row>
    <row r="66" spans="1:8" ht="15.75" customHeight="1" thickBot="1" x14ac:dyDescent="0.3">
      <c r="A66" s="658" t="s">
        <v>1882</v>
      </c>
      <c r="B66" s="660"/>
      <c r="C66" s="324">
        <f t="shared" ref="C66:H66" si="0">AVERAGE(C8:C65)</f>
        <v>0.6051150377726322</v>
      </c>
      <c r="D66" s="324">
        <f t="shared" si="0"/>
        <v>4.6523765779289447E-2</v>
      </c>
      <c r="E66" s="324">
        <f t="shared" si="0"/>
        <v>0.34519409110474092</v>
      </c>
      <c r="F66" s="392">
        <f t="shared" si="0"/>
        <v>1.6216853580047919</v>
      </c>
      <c r="G66" s="392">
        <f t="shared" si="0"/>
        <v>1.0851071922135946</v>
      </c>
      <c r="H66" s="392">
        <f t="shared" si="0"/>
        <v>2.1755378367112042</v>
      </c>
    </row>
    <row r="67" spans="1:8" ht="16.5" thickTop="1" thickBot="1" x14ac:dyDescent="0.3">
      <c r="A67" s="651" t="s">
        <v>1866</v>
      </c>
      <c r="B67" s="651"/>
      <c r="C67" s="269"/>
      <c r="D67" s="269"/>
      <c r="E67" s="269"/>
      <c r="F67" s="394"/>
      <c r="G67" s="395"/>
      <c r="H67" s="396"/>
    </row>
    <row r="68" spans="1:8" ht="15.75" thickTop="1" x14ac:dyDescent="0.25">
      <c r="A68" s="40" t="s">
        <v>692</v>
      </c>
      <c r="B68" s="40" t="s">
        <v>1982</v>
      </c>
      <c r="C68" s="95">
        <f>'Table 7'!C68/'Table 7'!$F68</f>
        <v>0.59670250465493424</v>
      </c>
      <c r="D68" s="95">
        <f>'Table 7'!D68/'Table 7'!$F68</f>
        <v>3.8278575289807194E-2</v>
      </c>
      <c r="E68" s="95">
        <f>'Table 7'!E68/'Table 7'!$F68</f>
        <v>0.3650189200552586</v>
      </c>
      <c r="F68" s="389">
        <f>'Table 7'!F68/'Table 1'!D68</f>
        <v>2.1745206624523274</v>
      </c>
      <c r="G68" s="115">
        <f>'Table 7'!K68/'Table 1'!D68</f>
        <v>0.68811713076641767</v>
      </c>
      <c r="H68" s="390">
        <f>'Table 7'!G68/('Table 1'!D68/1000)</f>
        <v>1.5542552635703466</v>
      </c>
    </row>
    <row r="69" spans="1:8" x14ac:dyDescent="0.25">
      <c r="A69" s="40" t="s">
        <v>739</v>
      </c>
      <c r="B69" s="40" t="s">
        <v>1983</v>
      </c>
      <c r="C69" s="95">
        <f>'Table 7'!C69/'Table 7'!$F69</f>
        <v>0.78016089124299048</v>
      </c>
      <c r="D69" s="95">
        <f>'Table 7'!D69/'Table 7'!$F69</f>
        <v>1.3919454909420965E-2</v>
      </c>
      <c r="E69" s="95">
        <f>'Table 7'!E69/'Table 7'!$F69</f>
        <v>0.20591965384758851</v>
      </c>
      <c r="F69" s="389">
        <f>'Table 7'!F69/'Table 1'!D69</f>
        <v>3.1230147943928861</v>
      </c>
      <c r="G69" s="115">
        <f>'Table 7'!K69/'Table 1'!D69</f>
        <v>1.229351920164641</v>
      </c>
      <c r="H69" s="390">
        <f>'Table 7'!G69/('Table 1'!D69/1000)</f>
        <v>2.0968430862423797</v>
      </c>
    </row>
    <row r="70" spans="1:8" x14ac:dyDescent="0.25">
      <c r="A70" s="40" t="s">
        <v>723</v>
      </c>
      <c r="B70" s="40" t="s">
        <v>1984</v>
      </c>
      <c r="C70" s="95">
        <f>'Table 7'!C70/'Table 7'!$F70</f>
        <v>0.63792033387252056</v>
      </c>
      <c r="D70" s="95">
        <f>'Table 7'!D70/'Table 7'!$F70</f>
        <v>5.0931197435358622E-2</v>
      </c>
      <c r="E70" s="95">
        <f>'Table 7'!E70/'Table 7'!$F70</f>
        <v>0.31114846869212087</v>
      </c>
      <c r="F70" s="389">
        <f>'Table 7'!F70/'Table 1'!D70</f>
        <v>1.3430360389333369</v>
      </c>
      <c r="G70" s="115">
        <f>'Table 7'!K70/'Table 1'!D70</f>
        <v>0.35769182806849431</v>
      </c>
      <c r="H70" s="390">
        <f>'Table 7'!G70/('Table 1'!D70/1000)</f>
        <v>1.2338953682980776</v>
      </c>
    </row>
    <row r="71" spans="1:8" x14ac:dyDescent="0.25">
      <c r="A71" s="40" t="s">
        <v>760</v>
      </c>
      <c r="B71" s="40" t="s">
        <v>1985</v>
      </c>
      <c r="C71" s="95">
        <f>'Table 7'!C71/'Table 7'!$F71</f>
        <v>0.62950243825858299</v>
      </c>
      <c r="D71" s="95">
        <f>'Table 7'!D71/'Table 7'!$F71</f>
        <v>1.8436570935172737E-2</v>
      </c>
      <c r="E71" s="95">
        <f>'Table 7'!E71/'Table 7'!$F71</f>
        <v>0.35206099080624431</v>
      </c>
      <c r="F71" s="389">
        <f>'Table 7'!F71/'Table 1'!D71</f>
        <v>1.514908734169689</v>
      </c>
      <c r="G71" s="115">
        <f>'Table 7'!K71/'Table 1'!D71</f>
        <v>0.89572804566264341</v>
      </c>
      <c r="H71" s="390">
        <f>'Table 7'!G71/('Table 1'!D71/1000)</f>
        <v>0.8323919376895178</v>
      </c>
    </row>
    <row r="72" spans="1:8" x14ac:dyDescent="0.25">
      <c r="A72" s="40" t="s">
        <v>975</v>
      </c>
      <c r="B72" s="40" t="s">
        <v>1986</v>
      </c>
      <c r="C72" s="95">
        <f>'Table 7'!C72/'Table 7'!$F72</f>
        <v>0.64292544387721062</v>
      </c>
      <c r="D72" s="95">
        <f>'Table 7'!D72/'Table 7'!$F72</f>
        <v>4.2896217394204898E-2</v>
      </c>
      <c r="E72" s="95">
        <f>'Table 7'!E72/'Table 7'!$F72</f>
        <v>0.31417833872858447</v>
      </c>
      <c r="F72" s="389">
        <f>'Table 7'!F72/'Table 1'!D72</f>
        <v>1.6837457342447875</v>
      </c>
      <c r="G72" s="115">
        <f>'Table 7'!K72/'Table 1'!D72</f>
        <v>0.28518245129818032</v>
      </c>
      <c r="H72" s="390">
        <f>'Table 7'!G72/('Table 1'!D72/1000)</f>
        <v>2.155610471024958</v>
      </c>
    </row>
    <row r="73" spans="1:8" x14ac:dyDescent="0.25">
      <c r="A73" s="40" t="s">
        <v>1071</v>
      </c>
      <c r="B73" s="40" t="s">
        <v>1987</v>
      </c>
      <c r="C73" s="95">
        <f>'Table 7'!C73/'Table 7'!$F73</f>
        <v>0.63940362367443915</v>
      </c>
      <c r="D73" s="95">
        <f>'Table 7'!D73/'Table 7'!$F73</f>
        <v>4.0664413377697703E-2</v>
      </c>
      <c r="E73" s="95">
        <f>'Table 7'!E73/'Table 7'!$F73</f>
        <v>0.31993196294786308</v>
      </c>
      <c r="F73" s="389">
        <f>'Table 7'!F73/'Table 1'!D73</f>
        <v>2.0176279641603059</v>
      </c>
      <c r="G73" s="115">
        <f>'Table 7'!K73/'Table 1'!D73</f>
        <v>0.48523337372522313</v>
      </c>
      <c r="H73" s="390">
        <f>'Table 7'!G73/('Table 1'!D73/1000)</f>
        <v>1.2029117540399261</v>
      </c>
    </row>
    <row r="74" spans="1:8" x14ac:dyDescent="0.25">
      <c r="A74" s="40" t="s">
        <v>1111</v>
      </c>
      <c r="B74" s="40" t="s">
        <v>1988</v>
      </c>
      <c r="C74" s="95">
        <f>'Table 7'!C74/'Table 7'!$F74</f>
        <v>0.63921045155064105</v>
      </c>
      <c r="D74" s="95">
        <f>'Table 7'!D74/'Table 7'!$F74</f>
        <v>3.1409669578393397E-2</v>
      </c>
      <c r="E74" s="95">
        <f>'Table 7'!E74/'Table 7'!$F74</f>
        <v>0.32937987887096554</v>
      </c>
      <c r="F74" s="389">
        <f>'Table 7'!F74/'Table 1'!D74</f>
        <v>2.4282147589273002</v>
      </c>
      <c r="G74" s="115">
        <f>'Table 7'!K74/'Table 1'!D74</f>
        <v>0.87201191401758626</v>
      </c>
      <c r="H74" s="390">
        <f>'Table 7'!G74/('Table 1'!D74/1000)</f>
        <v>4.4458558272467448</v>
      </c>
    </row>
    <row r="75" spans="1:8" x14ac:dyDescent="0.25">
      <c r="A75" s="40" t="s">
        <v>1425</v>
      </c>
      <c r="B75" s="40" t="s">
        <v>1989</v>
      </c>
      <c r="C75" s="95">
        <f>'Table 7'!C75/'Table 7'!$F75</f>
        <v>0.69180967615160271</v>
      </c>
      <c r="D75" s="95">
        <f>'Table 7'!D75/'Table 7'!$F75</f>
        <v>3.8693574742996617E-2</v>
      </c>
      <c r="E75" s="95">
        <f>'Table 7'!E75/'Table 7'!$F75</f>
        <v>0.26949674910540067</v>
      </c>
      <c r="F75" s="389">
        <f>'Table 7'!F75/'Table 1'!D75</f>
        <v>2.9753620809912609</v>
      </c>
      <c r="G75" s="115">
        <f>'Table 7'!K75/'Table 1'!D75</f>
        <v>1.081278463873959</v>
      </c>
      <c r="H75" s="390">
        <f>'Table 7'!G75/('Table 1'!D75/1000)</f>
        <v>4.0413572395683746</v>
      </c>
    </row>
    <row r="76" spans="1:8" x14ac:dyDescent="0.25">
      <c r="A76" s="40" t="s">
        <v>1442</v>
      </c>
      <c r="B76" s="40" t="s">
        <v>1990</v>
      </c>
      <c r="C76" s="95">
        <f>'Table 7'!C76/'Table 7'!$F76</f>
        <v>0.62290252592607331</v>
      </c>
      <c r="D76" s="95">
        <f>'Table 7'!D76/'Table 7'!$F76</f>
        <v>6.5467067417743191E-2</v>
      </c>
      <c r="E76" s="95">
        <f>'Table 7'!E76/'Table 7'!$F76</f>
        <v>0.31163040665618347</v>
      </c>
      <c r="F76" s="389">
        <f>'Table 7'!F76/'Table 1'!D76</f>
        <v>1.6865893780354067</v>
      </c>
      <c r="G76" s="115">
        <f>'Table 7'!K76/'Table 1'!D76</f>
        <v>0.60150847116223893</v>
      </c>
      <c r="H76" s="390">
        <f>'Table 7'!G76/('Table 1'!D76/1000)</f>
        <v>3.7599874667084445</v>
      </c>
    </row>
    <row r="77" spans="1:8" x14ac:dyDescent="0.25">
      <c r="A77" s="40" t="s">
        <v>1472</v>
      </c>
      <c r="B77" s="40" t="s">
        <v>1991</v>
      </c>
      <c r="C77" s="95">
        <f>'Table 7'!C77/'Table 7'!$F77</f>
        <v>0.57972543660883658</v>
      </c>
      <c r="D77" s="95">
        <f>'Table 7'!D77/'Table 7'!$F77</f>
        <v>3.9209750978730272E-2</v>
      </c>
      <c r="E77" s="95">
        <f>'Table 7'!E77/'Table 7'!$F77</f>
        <v>0.38106481241243317</v>
      </c>
      <c r="F77" s="389">
        <f>'Table 7'!F77/'Table 1'!D77</f>
        <v>2.0583666130630602</v>
      </c>
      <c r="G77" s="115">
        <f>'Table 7'!K77/'Table 1'!D77</f>
        <v>0.35699408382338105</v>
      </c>
      <c r="H77" s="390">
        <f>'Table 7'!G77/('Table 1'!D77/1000)</f>
        <v>0.98504044006384972</v>
      </c>
    </row>
    <row r="78" spans="1:8" x14ac:dyDescent="0.25">
      <c r="A78" s="40" t="s">
        <v>1558</v>
      </c>
      <c r="B78" s="40" t="s">
        <v>1992</v>
      </c>
      <c r="C78" s="95">
        <f>'Table 7'!C78/'Table 7'!$F78</f>
        <v>0.66340314479860818</v>
      </c>
      <c r="D78" s="95">
        <f>'Table 7'!D78/'Table 7'!$F78</f>
        <v>3.5797524866231167E-2</v>
      </c>
      <c r="E78" s="95">
        <f>'Table 7'!E78/'Table 7'!$F78</f>
        <v>0.30079933033516071</v>
      </c>
      <c r="F78" s="389">
        <f>'Table 7'!F78/'Table 1'!D78</f>
        <v>2.7362795293272253</v>
      </c>
      <c r="G78" s="115">
        <f>'Table 7'!K78/'Table 1'!D78</f>
        <v>1.7767223569567951</v>
      </c>
      <c r="H78" s="390">
        <f>'Table 7'!G78/('Table 1'!D78/1000)</f>
        <v>3.6378334680679063</v>
      </c>
    </row>
    <row r="79" spans="1:8" x14ac:dyDescent="0.25">
      <c r="A79" s="40" t="s">
        <v>1696</v>
      </c>
      <c r="B79" s="40" t="s">
        <v>1993</v>
      </c>
      <c r="C79" s="95">
        <f>'Table 7'!C79/'Table 7'!$F79</f>
        <v>0.61606002243708213</v>
      </c>
      <c r="D79" s="95">
        <f>'Table 7'!D79/'Table 7'!$F79</f>
        <v>5.2519632446874048E-2</v>
      </c>
      <c r="E79" s="95">
        <f>'Table 7'!E79/'Table 7'!$F79</f>
        <v>0.33580400625125639</v>
      </c>
      <c r="F79" s="389">
        <f>'Table 7'!F79/'Table 1'!D79</f>
        <v>1.3244327258360959</v>
      </c>
      <c r="G79" s="115">
        <f>'Table 7'!K79/'Table 1'!D79</f>
        <v>0.1213262449112802</v>
      </c>
      <c r="H79" s="390">
        <f>'Table 7'!G79/('Table 1'!D79/1000)</f>
        <v>1.5029974062559046</v>
      </c>
    </row>
    <row r="80" spans="1:8" ht="16.5" customHeight="1" thickBot="1" x14ac:dyDescent="0.3">
      <c r="A80" s="658" t="s">
        <v>1882</v>
      </c>
      <c r="B80" s="660"/>
      <c r="C80" s="391">
        <f t="shared" ref="C80:H80" si="1">AVERAGE(C68:C79)</f>
        <v>0.6449772077544601</v>
      </c>
      <c r="D80" s="265">
        <f t="shared" si="1"/>
        <v>3.9018637447719239E-2</v>
      </c>
      <c r="E80" s="265">
        <f t="shared" si="1"/>
        <v>0.31636945989242166</v>
      </c>
      <c r="F80" s="392">
        <f t="shared" si="1"/>
        <v>2.0888415845444737</v>
      </c>
      <c r="G80" s="392">
        <f t="shared" si="1"/>
        <v>0.72926219036923678</v>
      </c>
      <c r="H80" s="393">
        <f t="shared" si="1"/>
        <v>2.2874149773980359</v>
      </c>
    </row>
    <row r="81" spans="1:11" ht="16.5" thickTop="1" thickBot="1" x14ac:dyDescent="0.3">
      <c r="A81" s="58"/>
      <c r="B81" s="49" t="s">
        <v>1867</v>
      </c>
      <c r="C81" s="269"/>
      <c r="D81" s="269"/>
      <c r="E81" s="269"/>
      <c r="F81" s="394"/>
      <c r="G81" s="395"/>
      <c r="H81" s="396"/>
    </row>
    <row r="82" spans="1:11" ht="15.75" thickTop="1" x14ac:dyDescent="0.25">
      <c r="A82" s="55" t="s">
        <v>897</v>
      </c>
      <c r="B82" s="40" t="s">
        <v>1994</v>
      </c>
      <c r="C82" s="95">
        <f>'Table 7'!C82/'Table 7'!$F82</f>
        <v>0.49765813064363285</v>
      </c>
      <c r="D82" s="95">
        <f>'Table 7'!D82/'Table 7'!$F82</f>
        <v>5.3432744779809818E-2</v>
      </c>
      <c r="E82" s="95">
        <f>'Table 7'!E82/'Table 7'!$F82</f>
        <v>0.44890912457655735</v>
      </c>
      <c r="F82" s="389">
        <f>'Table 7'!F82/'Table 1'!D82</f>
        <v>3.0678005747510526</v>
      </c>
      <c r="G82" s="115">
        <f>'Table 7'!K82/'Table 1'!D82</f>
        <v>1.5056806790082202</v>
      </c>
      <c r="H82" s="390">
        <f>'Table 7'!G82/('Table 1'!D82/1000)</f>
        <v>2.6732607097507186</v>
      </c>
      <c r="K82" t="s">
        <v>2047</v>
      </c>
    </row>
    <row r="83" spans="1:11" x14ac:dyDescent="0.25">
      <c r="A83" s="55" t="s">
        <v>1312</v>
      </c>
      <c r="B83" s="40" t="s">
        <v>1868</v>
      </c>
      <c r="C83" s="95">
        <f>'Table 7'!C83/'Table 7'!$F83</f>
        <v>0.56188696870621202</v>
      </c>
      <c r="D83" s="95">
        <f>'Table 7'!D83/'Table 7'!$F83</f>
        <v>3.755254553946754E-2</v>
      </c>
      <c r="E83" s="95">
        <f>'Table 7'!E83/'Table 7'!$F83</f>
        <v>0.40056048575432041</v>
      </c>
      <c r="F83" s="389">
        <f>'Table 7'!F83/'Table 1'!D83</f>
        <v>3.3062232974725898</v>
      </c>
      <c r="G83" s="115">
        <f>'Table 7'!K83/'Table 1'!D83</f>
        <v>1.8690482318422814</v>
      </c>
      <c r="H83" s="390">
        <f>'Table 7'!G83/('Table 1'!D83/1000)</f>
        <v>1.0294950326864674</v>
      </c>
    </row>
    <row r="84" spans="1:11" x14ac:dyDescent="0.25">
      <c r="A84" s="55" t="s">
        <v>1100</v>
      </c>
      <c r="B84" s="40" t="s">
        <v>1995</v>
      </c>
      <c r="C84" s="95">
        <f>'Table 7'!C84/'Table 7'!$F84</f>
        <v>0.51541318772024514</v>
      </c>
      <c r="D84" s="95">
        <f>'Table 7'!D84/'Table 7'!$F84</f>
        <v>0.10257468491063208</v>
      </c>
      <c r="E84" s="95">
        <f>'Table 7'!E84/'Table 7'!$F84</f>
        <v>0.38201212736912282</v>
      </c>
      <c r="F84" s="389">
        <f>'Table 7'!F84/'Table 1'!D84</f>
        <v>6.7449678800856532</v>
      </c>
      <c r="G84" s="115">
        <f>'Table 7'!K84/'Table 1'!D84</f>
        <v>16.963811563169166</v>
      </c>
      <c r="H84" s="390">
        <f>'Table 7'!G84/('Table 1'!D84/1000)</f>
        <v>19.271948608137045</v>
      </c>
    </row>
    <row r="85" spans="1:11" x14ac:dyDescent="0.25">
      <c r="A85" s="55" t="s">
        <v>1281</v>
      </c>
      <c r="B85" s="40" t="s">
        <v>1996</v>
      </c>
      <c r="C85" s="95">
        <f>'Table 7'!C85/'Table 7'!$F85</f>
        <v>0.60646334757412967</v>
      </c>
      <c r="D85" s="95">
        <f>'Table 7'!D85/'Table 7'!$F85</f>
        <v>5.9193773529038533E-2</v>
      </c>
      <c r="E85" s="95">
        <f>'Table 7'!E85/'Table 7'!$F85</f>
        <v>0.33434287889683179</v>
      </c>
      <c r="F85" s="389">
        <f>'Table 7'!F85/'Table 1'!D85</f>
        <v>2.922032976540677</v>
      </c>
      <c r="G85" s="115">
        <f>'Table 7'!K85/'Table 1'!D85</f>
        <v>3.6375546931006353</v>
      </c>
      <c r="H85" s="390">
        <f>'Table 7'!G85/('Table 1'!D85/1000)</f>
        <v>5.4136899611895286</v>
      </c>
    </row>
    <row r="86" spans="1:11" x14ac:dyDescent="0.25">
      <c r="A86" s="55" t="s">
        <v>1297</v>
      </c>
      <c r="B86" s="40" t="s">
        <v>1997</v>
      </c>
      <c r="C86" s="95">
        <f>'Table 7'!C86/'Table 7'!$F86</f>
        <v>0.66803420687917348</v>
      </c>
      <c r="D86" s="95">
        <f>'Table 7'!D86/'Table 7'!$F86</f>
        <v>2.1875393725589012E-2</v>
      </c>
      <c r="E86" s="95">
        <f>'Table 7'!E86/'Table 7'!$F86</f>
        <v>0.31009039939523747</v>
      </c>
      <c r="F86" s="389">
        <f>'Table 7'!F86/'Table 1'!D86</f>
        <v>2.303835129349443</v>
      </c>
      <c r="G86" s="115">
        <f>'Table 7'!K86/'Table 1'!D86</f>
        <v>3.5018504408403177</v>
      </c>
      <c r="H86" s="390">
        <f>'Table 7'!G86/('Table 1'!D86/1000)</f>
        <v>6.8212329015638042</v>
      </c>
    </row>
    <row r="87" spans="1:11" x14ac:dyDescent="0.25">
      <c r="A87" s="55" t="s">
        <v>1341</v>
      </c>
      <c r="B87" s="40" t="s">
        <v>1998</v>
      </c>
      <c r="C87" s="95">
        <f>'Table 7'!C87/'Table 7'!$F87</f>
        <v>0.53226092913505696</v>
      </c>
      <c r="D87" s="95">
        <f>'Table 7'!D87/'Table 7'!$F87</f>
        <v>4.1077816963945905E-2</v>
      </c>
      <c r="E87" s="95">
        <f>'Table 7'!E87/'Table 7'!$F87</f>
        <v>0.42666125390099713</v>
      </c>
      <c r="F87" s="389">
        <f>'Table 7'!F87/'Table 1'!D87</f>
        <v>3.6769288179867523</v>
      </c>
      <c r="G87" s="115">
        <f>'Table 7'!K87/'Table 1'!D87</f>
        <v>7.3813788599682804</v>
      </c>
      <c r="H87" s="390">
        <f>'Table 7'!G87/('Table 1'!D87/1000)</f>
        <v>7.9298442018845048</v>
      </c>
    </row>
    <row r="88" spans="1:11" x14ac:dyDescent="0.25">
      <c r="A88" s="55" t="s">
        <v>1409</v>
      </c>
      <c r="B88" s="40" t="s">
        <v>1999</v>
      </c>
      <c r="C88" s="95">
        <f>'Table 7'!C88/'Table 7'!$F88</f>
        <v>0.49917044761969254</v>
      </c>
      <c r="D88" s="95">
        <f>'Table 7'!D88/'Table 7'!$F88</f>
        <v>7.7580077199160297E-2</v>
      </c>
      <c r="E88" s="95">
        <f>'Table 7'!E88/'Table 7'!$F88</f>
        <v>0.42324947518114714</v>
      </c>
      <c r="F88" s="389">
        <f>'Table 7'!F88/'Table 1'!D88</f>
        <v>3.0238558410975735</v>
      </c>
      <c r="G88" s="115">
        <f>'Table 7'!K88/'Table 1'!D88</f>
        <v>7.6164380055288214</v>
      </c>
      <c r="H88" s="390">
        <f>'Table 7'!G88/('Table 1'!D88/1000)</f>
        <v>3.0971639193201601</v>
      </c>
    </row>
    <row r="89" spans="1:11" x14ac:dyDescent="0.25">
      <c r="A89" s="55" t="s">
        <v>1245</v>
      </c>
      <c r="B89" s="40" t="s">
        <v>2000</v>
      </c>
      <c r="C89" s="95">
        <f>'Table 7'!C89/'Table 7'!$F89</f>
        <v>0.5152949745083758</v>
      </c>
      <c r="D89" s="95">
        <f>'Table 7'!D89/'Table 7'!$F89</f>
        <v>5.1087295806887943E-2</v>
      </c>
      <c r="E89" s="95">
        <f>'Table 7'!E89/'Table 7'!$F89</f>
        <v>0.43361772968473622</v>
      </c>
      <c r="F89" s="389">
        <f>'Table 7'!F89/'Table 1'!D89</f>
        <v>3.6746320015293441</v>
      </c>
      <c r="G89" s="115">
        <f>'Table 7'!K89/'Table 1'!D89</f>
        <v>10.071688013764099</v>
      </c>
      <c r="H89" s="390">
        <f>'Table 7'!G89/('Table 1'!D89/1000)</f>
        <v>5.3527050277193657</v>
      </c>
    </row>
    <row r="90" spans="1:11" x14ac:dyDescent="0.25">
      <c r="A90" s="55" t="s">
        <v>1613</v>
      </c>
      <c r="B90" s="40" t="s">
        <v>2001</v>
      </c>
      <c r="C90" s="95">
        <f>'Table 7'!C90/'Table 7'!$F90</f>
        <v>0.52938219193386216</v>
      </c>
      <c r="D90" s="95">
        <f>'Table 7'!D90/'Table 7'!$F90</f>
        <v>9.3257736565746846E-2</v>
      </c>
      <c r="E90" s="95">
        <f>'Table 7'!E90/'Table 7'!$F90</f>
        <v>0.37736007150039103</v>
      </c>
      <c r="F90" s="389">
        <f>'Table 7'!F90/'Table 1'!D90</f>
        <v>2.3709688100125819</v>
      </c>
      <c r="G90" s="115">
        <f>'Table 7'!K90/'Table 1'!D90</f>
        <v>5.2646182372028338</v>
      </c>
      <c r="H90" s="390">
        <f>'Table 7'!G90/('Table 1'!D90/1000)</f>
        <v>3.1123766637970993</v>
      </c>
    </row>
    <row r="91" spans="1:11" x14ac:dyDescent="0.25">
      <c r="A91" s="55" t="s">
        <v>1742</v>
      </c>
      <c r="B91" s="40" t="s">
        <v>2002</v>
      </c>
      <c r="C91" s="95">
        <f>'Table 7'!C91/'Table 7'!$F91</f>
        <v>0.65896743120613199</v>
      </c>
      <c r="D91" s="95">
        <f>'Table 7'!D91/'Table 7'!$F91</f>
        <v>4.5387800651963232E-2</v>
      </c>
      <c r="E91" s="95">
        <f>'Table 7'!E91/'Table 7'!$F91</f>
        <v>0.29564476814190477</v>
      </c>
      <c r="F91" s="389">
        <f>'Table 7'!F91/'Table 1'!D91</f>
        <v>4.9507124164001164</v>
      </c>
      <c r="G91" s="115">
        <f>'Table 7'!K91/'Table 1'!D91</f>
        <v>6.5095231171852284</v>
      </c>
      <c r="H91" s="390">
        <f>'Table 7'!G91/('Table 1'!D91/1000)</f>
        <v>8.3599883687118339</v>
      </c>
    </row>
    <row r="92" spans="1:11" x14ac:dyDescent="0.25">
      <c r="A92" s="55" t="s">
        <v>1178</v>
      </c>
      <c r="B92" s="40" t="s">
        <v>2003</v>
      </c>
      <c r="C92" s="95">
        <f>'Table 7'!C92/'Table 7'!$F92</f>
        <v>0.65594082640283857</v>
      </c>
      <c r="D92" s="95">
        <f>'Table 7'!D92/'Table 7'!$F92</f>
        <v>5.2396418044943396E-2</v>
      </c>
      <c r="E92" s="95">
        <f>'Table 7'!E92/'Table 7'!$F92</f>
        <v>0.29166275555221804</v>
      </c>
      <c r="F92" s="389">
        <f>'Table 7'!F92/'Table 1'!D92</f>
        <v>5.5712791549001155</v>
      </c>
      <c r="G92" s="115">
        <f>'Table 7'!K92/'Table 1'!D92</f>
        <v>8.2839661123313455</v>
      </c>
      <c r="H92" s="390">
        <f>'Table 7'!G92/('Table 1'!D92/1000)</f>
        <v>1.255098839033574</v>
      </c>
    </row>
    <row r="93" spans="1:11" ht="17.25" customHeight="1" thickBot="1" x14ac:dyDescent="0.3">
      <c r="A93" s="648" t="s">
        <v>1882</v>
      </c>
      <c r="B93" s="649"/>
      <c r="C93" s="391">
        <f t="shared" ref="C93:H93" si="2">AVERAGE(C82:C92)</f>
        <v>0.56731569475721377</v>
      </c>
      <c r="D93" s="265">
        <f t="shared" si="2"/>
        <v>5.7765117065198601E-2</v>
      </c>
      <c r="E93" s="265">
        <f t="shared" si="2"/>
        <v>0.37491918817758757</v>
      </c>
      <c r="F93" s="392">
        <f t="shared" si="2"/>
        <v>3.7830215363750823</v>
      </c>
      <c r="G93" s="392">
        <f t="shared" si="2"/>
        <v>6.600505268540112</v>
      </c>
      <c r="H93" s="393">
        <f t="shared" si="2"/>
        <v>5.8469822030721907</v>
      </c>
    </row>
    <row r="94" spans="1:11" ht="17.25" thickTop="1" thickBot="1" x14ac:dyDescent="0.3">
      <c r="A94" s="142"/>
      <c r="B94" s="18"/>
      <c r="C94" s="397"/>
      <c r="D94" s="397"/>
      <c r="E94" s="397"/>
      <c r="F94" s="398"/>
      <c r="G94" s="399"/>
      <c r="H94" s="400"/>
    </row>
    <row r="95" spans="1:11" ht="17.25" customHeight="1" thickTop="1" x14ac:dyDescent="0.25">
      <c r="A95" s="654" t="s">
        <v>1883</v>
      </c>
      <c r="B95" s="655"/>
      <c r="C95" s="401">
        <f t="shared" ref="C95:H95" si="3">AVERAGE(C82:C92,C68:C79,C8:C65)</f>
        <v>0.60588730032340166</v>
      </c>
      <c r="D95" s="401">
        <f t="shared" si="3"/>
        <v>4.6938498176402499E-2</v>
      </c>
      <c r="E95" s="401">
        <f t="shared" si="3"/>
        <v>0.34496051694737662</v>
      </c>
      <c r="F95" s="402">
        <f t="shared" si="3"/>
        <v>1.9844084775177468</v>
      </c>
      <c r="G95" s="401">
        <f t="shared" si="3"/>
        <v>1.7813940911945751</v>
      </c>
      <c r="H95" s="403">
        <f t="shared" si="3"/>
        <v>2.6907034381706221</v>
      </c>
    </row>
  </sheetData>
  <mergeCells count="6">
    <mergeCell ref="A93:B93"/>
    <mergeCell ref="A95:B95"/>
    <mergeCell ref="B4:B6"/>
    <mergeCell ref="A66:B66"/>
    <mergeCell ref="A67:B67"/>
    <mergeCell ref="A80:B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5"/>
  <sheetViews>
    <sheetView workbookViewId="0">
      <selection activeCell="S27" sqref="S27"/>
    </sheetView>
  </sheetViews>
  <sheetFormatPr defaultColWidth="8.85546875" defaultRowHeight="15" x14ac:dyDescent="0.25"/>
  <cols>
    <col min="1" max="1" width="6.85546875" customWidth="1"/>
    <col min="2" max="2" width="18.42578125" customWidth="1"/>
    <col min="3" max="3" width="11.85546875" style="187" customWidth="1"/>
    <col min="4" max="4" width="11.42578125" style="187" customWidth="1"/>
    <col min="5" max="5" width="11.140625" style="187" customWidth="1"/>
    <col min="6" max="6" width="9.85546875" style="187" customWidth="1"/>
    <col min="7" max="9" width="11.85546875" style="187" customWidth="1"/>
    <col min="10" max="10" width="10.7109375" style="187" customWidth="1"/>
    <col min="11" max="11" width="10.85546875" style="187" customWidth="1"/>
    <col min="12" max="12" width="11" style="187" customWidth="1"/>
    <col min="13" max="13" width="13.28515625" style="187" customWidth="1"/>
  </cols>
  <sheetData>
    <row r="1" spans="1:13" x14ac:dyDescent="0.25">
      <c r="A1" s="87"/>
      <c r="B1" s="88"/>
      <c r="C1" s="343"/>
      <c r="D1" s="344"/>
      <c r="E1" s="344"/>
      <c r="F1" s="345"/>
      <c r="G1" s="344"/>
      <c r="H1" s="344"/>
      <c r="L1" s="15" t="s">
        <v>2271</v>
      </c>
    </row>
    <row r="2" spans="1:13" ht="15.75" x14ac:dyDescent="0.25">
      <c r="A2" s="91" t="s">
        <v>2020</v>
      </c>
      <c r="B2" s="92"/>
      <c r="C2" s="346"/>
      <c r="D2" s="344"/>
      <c r="E2" s="344"/>
      <c r="F2" s="345"/>
      <c r="G2" s="344"/>
      <c r="H2" s="344"/>
      <c r="L2" s="22" t="s">
        <v>2004</v>
      </c>
    </row>
    <row r="3" spans="1:13" ht="15.75" thickBot="1" x14ac:dyDescent="0.3">
      <c r="A3" s="94"/>
      <c r="B3" s="92"/>
      <c r="C3" s="346"/>
      <c r="D3" s="344"/>
      <c r="E3" s="344"/>
      <c r="F3" s="345"/>
      <c r="G3" s="344"/>
      <c r="H3" s="344"/>
    </row>
    <row r="4" spans="1:13" ht="13.5" customHeight="1" thickTop="1" x14ac:dyDescent="0.25">
      <c r="A4" s="296"/>
      <c r="B4" s="677"/>
      <c r="C4" s="680" t="s">
        <v>2021</v>
      </c>
      <c r="D4" s="681"/>
      <c r="E4" s="681"/>
      <c r="F4" s="681"/>
      <c r="G4" s="682"/>
      <c r="H4" s="367"/>
      <c r="I4" s="681" t="s">
        <v>2022</v>
      </c>
      <c r="J4" s="681"/>
      <c r="K4" s="681"/>
      <c r="L4" s="682"/>
      <c r="M4"/>
    </row>
    <row r="5" spans="1:13" ht="12.75" customHeight="1" x14ac:dyDescent="0.25">
      <c r="A5" s="303"/>
      <c r="B5" s="678"/>
      <c r="C5" s="101" t="s">
        <v>2023</v>
      </c>
      <c r="D5" s="101" t="s">
        <v>2024</v>
      </c>
      <c r="E5" s="101" t="s">
        <v>2025</v>
      </c>
      <c r="F5" s="347" t="s">
        <v>2026</v>
      </c>
      <c r="G5" s="348" t="s">
        <v>2027</v>
      </c>
      <c r="H5" s="27" t="s">
        <v>1873</v>
      </c>
      <c r="I5" s="349" t="s">
        <v>2028</v>
      </c>
      <c r="J5" s="350" t="s">
        <v>2029</v>
      </c>
      <c r="K5" s="351"/>
      <c r="L5" s="349" t="s">
        <v>2030</v>
      </c>
      <c r="M5"/>
    </row>
    <row r="6" spans="1:13" ht="13.5" customHeight="1" thickBot="1" x14ac:dyDescent="0.3">
      <c r="A6" s="352"/>
      <c r="B6" s="679"/>
      <c r="C6" s="353" t="s">
        <v>2031</v>
      </c>
      <c r="D6" s="353" t="s">
        <v>2031</v>
      </c>
      <c r="E6" s="353" t="s">
        <v>2031</v>
      </c>
      <c r="F6" s="354" t="s">
        <v>2032</v>
      </c>
      <c r="G6" s="355" t="s">
        <v>2033</v>
      </c>
      <c r="H6" s="31" t="s">
        <v>2056</v>
      </c>
      <c r="I6" s="354" t="s">
        <v>2034</v>
      </c>
      <c r="J6" s="353" t="s">
        <v>2035</v>
      </c>
      <c r="K6" s="355" t="s">
        <v>2036</v>
      </c>
      <c r="L6" s="354" t="s">
        <v>2033</v>
      </c>
      <c r="M6"/>
    </row>
    <row r="7" spans="1:13" ht="16.5" thickTop="1" thickBot="1" x14ac:dyDescent="0.3">
      <c r="A7" s="58"/>
      <c r="B7" s="49" t="s">
        <v>1863</v>
      </c>
      <c r="C7" s="154"/>
      <c r="D7" s="166"/>
      <c r="E7" s="166"/>
      <c r="F7" s="166"/>
      <c r="G7" s="356"/>
      <c r="H7" s="356"/>
      <c r="I7" s="356"/>
      <c r="J7" s="356"/>
      <c r="K7" s="356"/>
      <c r="L7" s="357"/>
      <c r="M7"/>
    </row>
    <row r="8" spans="1:13" ht="15.75" thickTop="1" x14ac:dyDescent="0.25">
      <c r="A8" s="40" t="s">
        <v>666</v>
      </c>
      <c r="B8" s="40" t="s">
        <v>1927</v>
      </c>
      <c r="C8" s="358">
        <f>VLOOKUP($A8,[0]!Data,162,FALSE)</f>
        <v>103220</v>
      </c>
      <c r="D8" s="358">
        <f>VLOOKUP($A8,[0]!Data,163,FALSE)</f>
        <v>8970</v>
      </c>
      <c r="E8" s="358">
        <f>VLOOKUP($A8,[0]!Data,164,FALSE)</f>
        <v>64592</v>
      </c>
      <c r="F8" s="358">
        <f>VLOOKUP($A8,[0]!Data,165,FALSE)</f>
        <v>176782</v>
      </c>
      <c r="G8" s="358">
        <f>VLOOKUP($A8,[0]!Data,167,FALSE)</f>
        <v>280</v>
      </c>
      <c r="H8" s="358">
        <f>VLOOKUP($A8,[0]!Data,175,FALSE)</f>
        <v>93</v>
      </c>
      <c r="I8" s="358">
        <f>VLOOKUP($A8,[0]!Data,170,FALSE)+VLOOKUP($A8,[0]!Data,197,FALSE)</f>
        <v>25049</v>
      </c>
      <c r="J8" s="358">
        <f>VLOOKUP($A8,[0]!Data,171,FALSE)+VLOOKUP($A8,[0]!Data,198,FALSE)</f>
        <v>26966</v>
      </c>
      <c r="K8" s="358">
        <f>VLOOKUP($A8,[0]!Data,196,FALSE)</f>
        <v>54688</v>
      </c>
      <c r="L8" s="368">
        <f>VLOOKUP($A8,[0]!Data,199,FALSE)</f>
        <v>38</v>
      </c>
      <c r="M8"/>
    </row>
    <row r="9" spans="1:13" x14ac:dyDescent="0.25">
      <c r="A9" s="40" t="s">
        <v>711</v>
      </c>
      <c r="B9" s="40" t="s">
        <v>1928</v>
      </c>
      <c r="C9" s="358">
        <f>VLOOKUP($A9,[0]!Data,162,FALSE)</f>
        <v>28657</v>
      </c>
      <c r="D9" s="358">
        <f>VLOOKUP($A9,[0]!Data,163,FALSE)</f>
        <v>3876</v>
      </c>
      <c r="E9" s="358">
        <f>VLOOKUP($A9,[0]!Data,164,FALSE)</f>
        <v>22164</v>
      </c>
      <c r="F9" s="358">
        <f>VLOOKUP($A9,[0]!Data,165,FALSE)</f>
        <v>54697</v>
      </c>
      <c r="G9" s="358">
        <f>VLOOKUP($A9,[0]!Data,167,FALSE)</f>
        <v>69</v>
      </c>
      <c r="H9" s="358">
        <f>VLOOKUP($A9,[0]!Data,175,FALSE)</f>
        <v>89</v>
      </c>
      <c r="I9" s="358">
        <f>VLOOKUP($A9,[0]!Data,170,FALSE)+VLOOKUP($A9,[0]!Data,197,FALSE)</f>
        <v>7935</v>
      </c>
      <c r="J9" s="358">
        <f>VLOOKUP($A9,[0]!Data,171,FALSE)+VLOOKUP($A9,[0]!Data,198,FALSE)</f>
        <v>4617</v>
      </c>
      <c r="K9" s="358">
        <f>VLOOKUP($A9,[0]!Data,196,FALSE)</f>
        <v>53094</v>
      </c>
      <c r="L9" s="360">
        <f>VLOOKUP($A9,[0]!Data,199,FALSE)</f>
        <v>0</v>
      </c>
      <c r="M9"/>
    </row>
    <row r="10" spans="1:13" x14ac:dyDescent="0.25">
      <c r="A10" s="40" t="s">
        <v>775</v>
      </c>
      <c r="B10" s="40" t="s">
        <v>1929</v>
      </c>
      <c r="C10" s="358">
        <f>VLOOKUP($A10,[0]!Data,162,FALSE)</f>
        <v>36348</v>
      </c>
      <c r="D10" s="358">
        <f>VLOOKUP($A10,[0]!Data,163,FALSE)</f>
        <v>33</v>
      </c>
      <c r="E10" s="358">
        <f>VLOOKUP($A10,[0]!Data,164,FALSE)</f>
        <v>15775</v>
      </c>
      <c r="F10" s="358">
        <f>VLOOKUP($A10,[0]!Data,165,FALSE)</f>
        <v>52156</v>
      </c>
      <c r="G10" s="358">
        <f>VLOOKUP($A10,[0]!Data,167,FALSE)</f>
        <v>38</v>
      </c>
      <c r="H10" s="358">
        <f>VLOOKUP($A10,[0]!Data,175,FALSE)</f>
        <v>90</v>
      </c>
      <c r="I10" s="358">
        <f>VLOOKUP($A10,[0]!Data,170,FALSE)+VLOOKUP($A10,[0]!Data,197,FALSE)</f>
        <v>7842</v>
      </c>
      <c r="J10" s="358">
        <f>VLOOKUP($A10,[0]!Data,171,FALSE)+VLOOKUP($A10,[0]!Data,198,FALSE)</f>
        <v>2813</v>
      </c>
      <c r="K10" s="358">
        <f>VLOOKUP($A10,[0]!Data,196,FALSE)</f>
        <v>52890</v>
      </c>
      <c r="L10" s="360">
        <f>VLOOKUP($A10,[0]!Data,199,FALSE)</f>
        <v>0</v>
      </c>
      <c r="M10"/>
    </row>
    <row r="11" spans="1:13" x14ac:dyDescent="0.25">
      <c r="A11" s="40" t="s">
        <v>804</v>
      </c>
      <c r="B11" s="40" t="s">
        <v>1930</v>
      </c>
      <c r="C11" s="358">
        <f>VLOOKUP($A11,[0]!Data,162,FALSE)</f>
        <v>91169</v>
      </c>
      <c r="D11" s="358">
        <f>VLOOKUP($A11,[0]!Data,163,FALSE)</f>
        <v>0</v>
      </c>
      <c r="E11" s="358">
        <f>VLOOKUP($A11,[0]!Data,164,FALSE)</f>
        <v>43610</v>
      </c>
      <c r="F11" s="358">
        <f>VLOOKUP($A11,[0]!Data,165,FALSE)</f>
        <v>156906</v>
      </c>
      <c r="G11" s="358">
        <f>VLOOKUP($A11,[0]!Data,167,FALSE)</f>
        <v>130</v>
      </c>
      <c r="H11" s="358">
        <f>VLOOKUP($A11,[0]!Data,175,FALSE)</f>
        <v>89</v>
      </c>
      <c r="I11" s="358">
        <f>VLOOKUP($A11,[0]!Data,170,FALSE)+VLOOKUP($A11,[0]!Data,197,FALSE)</f>
        <v>9326</v>
      </c>
      <c r="J11" s="358">
        <f>VLOOKUP($A11,[0]!Data,171,FALSE)+VLOOKUP($A11,[0]!Data,198,FALSE)</f>
        <v>6779</v>
      </c>
      <c r="K11" s="358">
        <f>VLOOKUP($A11,[0]!Data,196,FALSE)</f>
        <v>55887</v>
      </c>
      <c r="L11" s="360">
        <f>VLOOKUP($A11,[0]!Data,199,FALSE)</f>
        <v>0</v>
      </c>
      <c r="M11"/>
    </row>
    <row r="12" spans="1:13" x14ac:dyDescent="0.25">
      <c r="A12" s="40" t="s">
        <v>818</v>
      </c>
      <c r="B12" s="40" t="s">
        <v>1931</v>
      </c>
      <c r="C12" s="358">
        <f>VLOOKUP($A12,[0]!Data,162,FALSE)</f>
        <v>292067</v>
      </c>
      <c r="D12" s="358">
        <f>VLOOKUP($A12,[0]!Data,163,FALSE)</f>
        <v>26319</v>
      </c>
      <c r="E12" s="358">
        <f>VLOOKUP($A12,[0]!Data,164,FALSE)</f>
        <v>181846</v>
      </c>
      <c r="F12" s="358">
        <f>VLOOKUP($A12,[0]!Data,165,FALSE)</f>
        <v>500232</v>
      </c>
      <c r="G12" s="358">
        <f>VLOOKUP($A12,[0]!Data,167,FALSE)</f>
        <v>610</v>
      </c>
      <c r="H12" s="358">
        <f>VLOOKUP($A12,[0]!Data,175,FALSE)</f>
        <v>96</v>
      </c>
      <c r="I12" s="358">
        <f>VLOOKUP($A12,[0]!Data,170,FALSE)+VLOOKUP($A12,[0]!Data,197,FALSE)</f>
        <v>61847</v>
      </c>
      <c r="J12" s="358">
        <f>VLOOKUP($A12,[0]!Data,171,FALSE)+VLOOKUP($A12,[0]!Data,198,FALSE)</f>
        <v>20700</v>
      </c>
      <c r="K12" s="358">
        <f>VLOOKUP($A12,[0]!Data,196,FALSE)</f>
        <v>91017</v>
      </c>
      <c r="L12" s="360">
        <f>VLOOKUP($A12,[0]!Data,199,FALSE)</f>
        <v>70</v>
      </c>
      <c r="M12"/>
    </row>
    <row r="13" spans="1:13" x14ac:dyDescent="0.25">
      <c r="A13" s="40" t="s">
        <v>831</v>
      </c>
      <c r="B13" s="40" t="s">
        <v>1932</v>
      </c>
      <c r="C13" s="358">
        <f>VLOOKUP($A13,[0]!Data,162,FALSE)</f>
        <v>74134</v>
      </c>
      <c r="D13" s="358">
        <f>VLOOKUP($A13,[0]!Data,163,FALSE)</f>
        <v>9360</v>
      </c>
      <c r="E13" s="358">
        <f>VLOOKUP($A13,[0]!Data,164,FALSE)</f>
        <v>42443</v>
      </c>
      <c r="F13" s="358">
        <f>VLOOKUP($A13,[0]!Data,165,FALSE)</f>
        <v>125937</v>
      </c>
      <c r="G13" s="358">
        <f>VLOOKUP($A13,[0]!Data,167,FALSE)</f>
        <v>90</v>
      </c>
      <c r="H13" s="358">
        <f>VLOOKUP($A13,[0]!Data,175,FALSE)</f>
        <v>89</v>
      </c>
      <c r="I13" s="358">
        <f>VLOOKUP($A13,[0]!Data,170,FALSE)+VLOOKUP($A13,[0]!Data,197,FALSE)</f>
        <v>10937</v>
      </c>
      <c r="J13" s="358">
        <f>VLOOKUP($A13,[0]!Data,171,FALSE)+VLOOKUP($A13,[0]!Data,198,FALSE)</f>
        <v>2505</v>
      </c>
      <c r="K13" s="358">
        <f>VLOOKUP($A13,[0]!Data,196,FALSE)</f>
        <v>79894</v>
      </c>
      <c r="L13" s="360">
        <f>VLOOKUP($A13,[0]!Data,199,FALSE)</f>
        <v>0</v>
      </c>
      <c r="M13"/>
    </row>
    <row r="14" spans="1:13" x14ac:dyDescent="0.25">
      <c r="A14" s="40" t="s">
        <v>843</v>
      </c>
      <c r="B14" s="40" t="s">
        <v>1933</v>
      </c>
      <c r="C14" s="358">
        <f>VLOOKUP($A14,[0]!Data,162,FALSE)</f>
        <v>112109</v>
      </c>
      <c r="D14" s="358">
        <f>VLOOKUP($A14,[0]!Data,163,FALSE)</f>
        <v>0</v>
      </c>
      <c r="E14" s="358">
        <f>VLOOKUP($A14,[0]!Data,164,FALSE)</f>
        <v>144008</v>
      </c>
      <c r="F14" s="358">
        <f>VLOOKUP($A14,[0]!Data,165,FALSE)</f>
        <v>267533</v>
      </c>
      <c r="G14" s="358">
        <f>VLOOKUP($A14,[0]!Data,167,FALSE)</f>
        <v>150</v>
      </c>
      <c r="H14" s="358">
        <f>VLOOKUP($A14,[0]!Data,175,FALSE)</f>
        <v>96</v>
      </c>
      <c r="I14" s="358">
        <f>VLOOKUP($A14,[0]!Data,170,FALSE)+VLOOKUP($A14,[0]!Data,197,FALSE)</f>
        <v>24003</v>
      </c>
      <c r="J14" s="358">
        <f>VLOOKUP($A14,[0]!Data,171,FALSE)+VLOOKUP($A14,[0]!Data,198,FALSE)</f>
        <v>9436</v>
      </c>
      <c r="K14" s="358">
        <f>VLOOKUP($A14,[0]!Data,196,FALSE)</f>
        <v>56773</v>
      </c>
      <c r="L14" s="360">
        <f>VLOOKUP($A14,[0]!Data,199,FALSE)</f>
        <v>78</v>
      </c>
      <c r="M14"/>
    </row>
    <row r="15" spans="1:13" x14ac:dyDescent="0.25">
      <c r="A15" s="40" t="s">
        <v>855</v>
      </c>
      <c r="B15" s="40" t="s">
        <v>1934</v>
      </c>
      <c r="C15" s="358">
        <f>VLOOKUP($A15,[0]!Data,162,FALSE)</f>
        <v>72521</v>
      </c>
      <c r="D15" s="358">
        <f>VLOOKUP($A15,[0]!Data,163,FALSE)</f>
        <v>8356</v>
      </c>
      <c r="E15" s="358">
        <f>VLOOKUP($A15,[0]!Data,164,FALSE)</f>
        <v>32107</v>
      </c>
      <c r="F15" s="358">
        <f>VLOOKUP($A15,[0]!Data,165,FALSE)</f>
        <v>112984</v>
      </c>
      <c r="G15" s="358">
        <f>VLOOKUP($A15,[0]!Data,167,FALSE)</f>
        <v>131</v>
      </c>
      <c r="H15" s="358">
        <f>VLOOKUP($A15,[0]!Data,175,FALSE)</f>
        <v>92</v>
      </c>
      <c r="I15" s="358">
        <f>VLOOKUP($A15,[0]!Data,170,FALSE)+VLOOKUP($A15,[0]!Data,197,FALSE)</f>
        <v>25173</v>
      </c>
      <c r="J15" s="358">
        <f>VLOOKUP($A15,[0]!Data,171,FALSE)+VLOOKUP($A15,[0]!Data,198,FALSE)</f>
        <v>12319</v>
      </c>
      <c r="K15" s="358">
        <f>VLOOKUP($A15,[0]!Data,196,FALSE)</f>
        <v>89278</v>
      </c>
      <c r="L15" s="360">
        <f>VLOOKUP($A15,[0]!Data,199,FALSE)</f>
        <v>32</v>
      </c>
      <c r="M15"/>
    </row>
    <row r="16" spans="1:13" x14ac:dyDescent="0.25">
      <c r="A16" s="40" t="s">
        <v>868</v>
      </c>
      <c r="B16" s="40" t="s">
        <v>1935</v>
      </c>
      <c r="C16" s="358">
        <f>VLOOKUP($A16,[0]!Data,162,FALSE)</f>
        <v>21435</v>
      </c>
      <c r="D16" s="358">
        <f>VLOOKUP($A16,[0]!Data,163,FALSE)</f>
        <v>1903</v>
      </c>
      <c r="E16" s="358">
        <f>VLOOKUP($A16,[0]!Data,164,FALSE)</f>
        <v>14320</v>
      </c>
      <c r="F16" s="358">
        <f>VLOOKUP($A16,[0]!Data,165,FALSE)</f>
        <v>37658</v>
      </c>
      <c r="G16" s="358">
        <f>VLOOKUP($A16,[0]!Data,167,FALSE)</f>
        <v>31</v>
      </c>
      <c r="H16" s="358">
        <f>VLOOKUP($A16,[0]!Data,175,FALSE)</f>
        <v>90</v>
      </c>
      <c r="I16" s="358">
        <f>VLOOKUP($A16,[0]!Data,170,FALSE)+VLOOKUP($A16,[0]!Data,197,FALSE)</f>
        <v>7687</v>
      </c>
      <c r="J16" s="358">
        <f>VLOOKUP($A16,[0]!Data,171,FALSE)+VLOOKUP($A16,[0]!Data,198,FALSE)</f>
        <v>2779</v>
      </c>
      <c r="K16" s="358">
        <f>VLOOKUP($A16,[0]!Data,196,FALSE)</f>
        <v>79120</v>
      </c>
      <c r="L16" s="360">
        <f>VLOOKUP($A16,[0]!Data,199,FALSE)</f>
        <v>-1</v>
      </c>
      <c r="M16"/>
    </row>
    <row r="17" spans="1:13" x14ac:dyDescent="0.25">
      <c r="A17" s="40" t="s">
        <v>881</v>
      </c>
      <c r="B17" s="40" t="s">
        <v>1936</v>
      </c>
      <c r="C17" s="358">
        <f>VLOOKUP($A17,[0]!Data,162,FALSE)</f>
        <v>81183</v>
      </c>
      <c r="D17" s="358">
        <f>VLOOKUP($A17,[0]!Data,163,FALSE)</f>
        <v>11192</v>
      </c>
      <c r="E17" s="358">
        <f>VLOOKUP($A17,[0]!Data,164,FALSE)</f>
        <v>61944</v>
      </c>
      <c r="F17" s="358">
        <f>VLOOKUP($A17,[0]!Data,165,FALSE)</f>
        <v>154319</v>
      </c>
      <c r="G17" s="358">
        <f>VLOOKUP($A17,[0]!Data,167,FALSE)</f>
        <v>239</v>
      </c>
      <c r="H17" s="358">
        <f>VLOOKUP($A17,[0]!Data,175,FALSE)</f>
        <v>97</v>
      </c>
      <c r="I17" s="358">
        <f>VLOOKUP($A17,[0]!Data,170,FALSE)+VLOOKUP($A17,[0]!Data,197,FALSE)</f>
        <v>27795</v>
      </c>
      <c r="J17" s="358">
        <f>VLOOKUP($A17,[0]!Data,171,FALSE)+VLOOKUP($A17,[0]!Data,198,FALSE)</f>
        <v>22051</v>
      </c>
      <c r="K17" s="358">
        <f>VLOOKUP($A17,[0]!Data,196,FALSE)</f>
        <v>89298</v>
      </c>
      <c r="L17" s="360">
        <f>VLOOKUP($A17,[0]!Data,199,FALSE)</f>
        <v>12</v>
      </c>
      <c r="M17"/>
    </row>
    <row r="18" spans="1:13" x14ac:dyDescent="0.25">
      <c r="A18" s="40" t="s">
        <v>932</v>
      </c>
      <c r="B18" s="40" t="s">
        <v>1937</v>
      </c>
      <c r="C18" s="358">
        <f>VLOOKUP($A18,[0]!Data,162,FALSE)</f>
        <v>54587</v>
      </c>
      <c r="D18" s="358">
        <f>VLOOKUP($A18,[0]!Data,163,FALSE)</f>
        <v>5155</v>
      </c>
      <c r="E18" s="358">
        <f>VLOOKUP($A18,[0]!Data,164,FALSE)</f>
        <v>20347</v>
      </c>
      <c r="F18" s="358">
        <f>VLOOKUP($A18,[0]!Data,165,FALSE)</f>
        <v>80089</v>
      </c>
      <c r="G18" s="358">
        <f>VLOOKUP($A18,[0]!Data,167,FALSE)</f>
        <v>265</v>
      </c>
      <c r="H18" s="358">
        <f>VLOOKUP($A18,[0]!Data,175,FALSE)</f>
        <v>96</v>
      </c>
      <c r="I18" s="358">
        <f>VLOOKUP($A18,[0]!Data,170,FALSE)+VLOOKUP($A18,[0]!Data,197,FALSE)</f>
        <v>11730</v>
      </c>
      <c r="J18" s="358">
        <f>VLOOKUP($A18,[0]!Data,171,FALSE)+VLOOKUP($A18,[0]!Data,198,FALSE)</f>
        <v>6897</v>
      </c>
      <c r="K18" s="358">
        <f>VLOOKUP($A18,[0]!Data,196,FALSE)</f>
        <v>79121</v>
      </c>
      <c r="L18" s="360">
        <f>VLOOKUP($A18,[0]!Data,199,FALSE)</f>
        <v>-1</v>
      </c>
      <c r="M18"/>
    </row>
    <row r="19" spans="1:13" x14ac:dyDescent="0.25">
      <c r="A19" s="40" t="s">
        <v>947</v>
      </c>
      <c r="B19" s="40" t="s">
        <v>1938</v>
      </c>
      <c r="C19" s="358">
        <f>VLOOKUP($A19,[0]!Data,162,FALSE)</f>
        <v>58448</v>
      </c>
      <c r="D19" s="358">
        <f>VLOOKUP($A19,[0]!Data,163,FALSE)</f>
        <v>3580</v>
      </c>
      <c r="E19" s="358">
        <f>VLOOKUP($A19,[0]!Data,164,FALSE)</f>
        <v>33813</v>
      </c>
      <c r="F19" s="358">
        <f>VLOOKUP($A19,[0]!Data,165,FALSE)</f>
        <v>95841</v>
      </c>
      <c r="G19" s="358">
        <f>VLOOKUP($A19,[0]!Data,167,FALSE)</f>
        <v>88</v>
      </c>
      <c r="H19" s="358">
        <f>VLOOKUP($A19,[0]!Data,175,FALSE)</f>
        <v>90</v>
      </c>
      <c r="I19" s="358">
        <f>VLOOKUP($A19,[0]!Data,170,FALSE)+VLOOKUP($A19,[0]!Data,197,FALSE)</f>
        <v>8610</v>
      </c>
      <c r="J19" s="358">
        <f>VLOOKUP($A19,[0]!Data,171,FALSE)+VLOOKUP($A19,[0]!Data,198,FALSE)</f>
        <v>4052</v>
      </c>
      <c r="K19" s="358">
        <f>VLOOKUP($A19,[0]!Data,196,FALSE)</f>
        <v>79121</v>
      </c>
      <c r="L19" s="360">
        <f>VLOOKUP($A19,[0]!Data,199,FALSE)</f>
        <v>0</v>
      </c>
      <c r="M19"/>
    </row>
    <row r="20" spans="1:13" x14ac:dyDescent="0.25">
      <c r="A20" s="40" t="s">
        <v>961</v>
      </c>
      <c r="B20" s="40" t="s">
        <v>1939</v>
      </c>
      <c r="C20" s="358">
        <f>VLOOKUP($A20,[0]!Data,162,FALSE)</f>
        <v>117652</v>
      </c>
      <c r="D20" s="358">
        <f>VLOOKUP($A20,[0]!Data,163,FALSE)</f>
        <v>9876</v>
      </c>
      <c r="E20" s="358">
        <f>VLOOKUP($A20,[0]!Data,164,FALSE)</f>
        <v>51563</v>
      </c>
      <c r="F20" s="358">
        <f>VLOOKUP($A20,[0]!Data,165,FALSE)</f>
        <v>179091</v>
      </c>
      <c r="G20" s="358">
        <f>VLOOKUP($A20,[0]!Data,167,FALSE)</f>
        <v>351</v>
      </c>
      <c r="H20" s="358">
        <f>VLOOKUP($A20,[0]!Data,175,FALSE)</f>
        <v>88</v>
      </c>
      <c r="I20" s="358">
        <f>VLOOKUP($A20,[0]!Data,170,FALSE)+VLOOKUP($A20,[0]!Data,197,FALSE)</f>
        <v>8837</v>
      </c>
      <c r="J20" s="358">
        <f>VLOOKUP($A20,[0]!Data,171,FALSE)+VLOOKUP($A20,[0]!Data,198,FALSE)</f>
        <v>6335</v>
      </c>
      <c r="K20" s="358">
        <f>VLOOKUP($A20,[0]!Data,196,FALSE)</f>
        <v>79307</v>
      </c>
      <c r="L20" s="360">
        <f>VLOOKUP($A20,[0]!Data,199,FALSE)</f>
        <v>0</v>
      </c>
      <c r="M20"/>
    </row>
    <row r="21" spans="1:13" x14ac:dyDescent="0.25">
      <c r="A21" s="40" t="s">
        <v>991</v>
      </c>
      <c r="B21" s="40" t="s">
        <v>1940</v>
      </c>
      <c r="C21" s="358">
        <f>VLOOKUP($A21,[0]!Data,162,FALSE)</f>
        <v>245648</v>
      </c>
      <c r="D21" s="358">
        <f>VLOOKUP($A21,[0]!Data,163,FALSE)</f>
        <v>35692</v>
      </c>
      <c r="E21" s="358">
        <f>VLOOKUP($A21,[0]!Data,164,FALSE)</f>
        <v>192645</v>
      </c>
      <c r="F21" s="358">
        <f>VLOOKUP($A21,[0]!Data,165,FALSE)</f>
        <v>473985</v>
      </c>
      <c r="G21" s="358">
        <f>VLOOKUP($A21,[0]!Data,167,FALSE)</f>
        <v>716</v>
      </c>
      <c r="H21" s="358">
        <f>VLOOKUP($A21,[0]!Data,175,FALSE)</f>
        <v>108</v>
      </c>
      <c r="I21" s="358">
        <f>VLOOKUP($A21,[0]!Data,170,FALSE)+VLOOKUP($A21,[0]!Data,197,FALSE)</f>
        <v>54337</v>
      </c>
      <c r="J21" s="358">
        <f>VLOOKUP($A21,[0]!Data,171,FALSE)+VLOOKUP($A21,[0]!Data,198,FALSE)</f>
        <v>32014</v>
      </c>
      <c r="K21" s="358">
        <f>VLOOKUP($A21,[0]!Data,196,FALSE)</f>
        <v>90362</v>
      </c>
      <c r="L21" s="360">
        <f>VLOOKUP($A21,[0]!Data,199,FALSE)</f>
        <v>134</v>
      </c>
      <c r="M21"/>
    </row>
    <row r="22" spans="1:13" x14ac:dyDescent="0.25">
      <c r="A22" s="40" t="s">
        <v>1007</v>
      </c>
      <c r="B22" s="40" t="s">
        <v>1941</v>
      </c>
      <c r="C22" s="358">
        <f>VLOOKUP($A22,[0]!Data,162,FALSE)</f>
        <v>203335</v>
      </c>
      <c r="D22" s="358">
        <f>VLOOKUP($A22,[0]!Data,163,FALSE)</f>
        <v>22890</v>
      </c>
      <c r="E22" s="358">
        <f>VLOOKUP($A22,[0]!Data,164,FALSE)</f>
        <v>86052</v>
      </c>
      <c r="F22" s="358">
        <f>VLOOKUP($A22,[0]!Data,165,FALSE)</f>
        <v>312277</v>
      </c>
      <c r="G22" s="358">
        <f>VLOOKUP($A22,[0]!Data,167,FALSE)</f>
        <v>1618</v>
      </c>
      <c r="H22" s="358">
        <f>VLOOKUP($A22,[0]!Data,175,FALSE)</f>
        <v>110</v>
      </c>
      <c r="I22" s="358">
        <f>VLOOKUP($A22,[0]!Data,170,FALSE)+VLOOKUP($A22,[0]!Data,197,FALSE)</f>
        <v>40790</v>
      </c>
      <c r="J22" s="358">
        <f>VLOOKUP($A22,[0]!Data,171,FALSE)+VLOOKUP($A22,[0]!Data,198,FALSE)</f>
        <v>18370</v>
      </c>
      <c r="K22" s="358">
        <f>VLOOKUP($A22,[0]!Data,196,FALSE)</f>
        <v>111078</v>
      </c>
      <c r="L22" s="360">
        <f>VLOOKUP($A22,[0]!Data,199,FALSE)</f>
        <v>99</v>
      </c>
      <c r="M22"/>
    </row>
    <row r="23" spans="1:13" x14ac:dyDescent="0.25">
      <c r="A23" s="40" t="s">
        <v>1024</v>
      </c>
      <c r="B23" s="40" t="s">
        <v>1942</v>
      </c>
      <c r="C23" s="358">
        <f>VLOOKUP($A23,[0]!Data,162,FALSE)</f>
        <v>41611</v>
      </c>
      <c r="D23" s="358">
        <f>VLOOKUP($A23,[0]!Data,163,FALSE)</f>
        <v>3564</v>
      </c>
      <c r="E23" s="358">
        <f>VLOOKUP($A23,[0]!Data,164,FALSE)</f>
        <v>26234</v>
      </c>
      <c r="F23" s="358">
        <f>VLOOKUP($A23,[0]!Data,165,FALSE)</f>
        <v>71409</v>
      </c>
      <c r="G23" s="358">
        <f>VLOOKUP($A23,[0]!Data,167,FALSE)</f>
        <v>87</v>
      </c>
      <c r="H23" s="358">
        <f>VLOOKUP($A23,[0]!Data,175,FALSE)</f>
        <v>93</v>
      </c>
      <c r="I23" s="358">
        <f>VLOOKUP($A23,[0]!Data,170,FALSE)+VLOOKUP($A23,[0]!Data,197,FALSE)</f>
        <v>10914</v>
      </c>
      <c r="J23" s="358">
        <f>VLOOKUP($A23,[0]!Data,171,FALSE)+VLOOKUP($A23,[0]!Data,198,FALSE)</f>
        <v>3016</v>
      </c>
      <c r="K23" s="358">
        <f>VLOOKUP($A23,[0]!Data,196,FALSE)</f>
        <v>79366</v>
      </c>
      <c r="L23" s="360">
        <f>VLOOKUP($A23,[0]!Data,199,FALSE)</f>
        <v>0</v>
      </c>
      <c r="M23"/>
    </row>
    <row r="24" spans="1:13" x14ac:dyDescent="0.25">
      <c r="A24" s="40" t="s">
        <v>1037</v>
      </c>
      <c r="B24" s="40" t="s">
        <v>1943</v>
      </c>
      <c r="C24" s="358">
        <f>VLOOKUP($A24,[0]!Data,162,FALSE)</f>
        <v>46839</v>
      </c>
      <c r="D24" s="358">
        <f>VLOOKUP($A24,[0]!Data,163,FALSE)</f>
        <v>1140</v>
      </c>
      <c r="E24" s="358">
        <f>VLOOKUP($A24,[0]!Data,164,FALSE)</f>
        <v>32842</v>
      </c>
      <c r="F24" s="358">
        <f>VLOOKUP($A24,[0]!Data,165,FALSE)</f>
        <v>80821</v>
      </c>
      <c r="G24" s="358">
        <f>VLOOKUP($A24,[0]!Data,167,FALSE)</f>
        <v>44</v>
      </c>
      <c r="H24" s="358">
        <f>VLOOKUP($A24,[0]!Data,175,FALSE)</f>
        <v>88</v>
      </c>
      <c r="I24" s="358">
        <f>VLOOKUP($A24,[0]!Data,170,FALSE)+VLOOKUP($A24,[0]!Data,197,FALSE)</f>
        <v>9288</v>
      </c>
      <c r="J24" s="358">
        <f>VLOOKUP($A24,[0]!Data,171,FALSE)+VLOOKUP($A24,[0]!Data,198,FALSE)</f>
        <v>5481</v>
      </c>
      <c r="K24" s="358">
        <f>VLOOKUP($A24,[0]!Data,196,FALSE)</f>
        <v>79121</v>
      </c>
      <c r="L24" s="360">
        <f>VLOOKUP($A24,[0]!Data,199,FALSE)</f>
        <v>-1</v>
      </c>
      <c r="M24"/>
    </row>
    <row r="25" spans="1:13" x14ac:dyDescent="0.25">
      <c r="A25" s="40" t="s">
        <v>1053</v>
      </c>
      <c r="B25" s="40" t="s">
        <v>1944</v>
      </c>
      <c r="C25" s="358">
        <f>VLOOKUP($A25,[0]!Data,162,FALSE)</f>
        <v>290732</v>
      </c>
      <c r="D25" s="358">
        <f>VLOOKUP($A25,[0]!Data,163,FALSE)</f>
        <v>25851</v>
      </c>
      <c r="E25" s="358">
        <f>VLOOKUP($A25,[0]!Data,164,FALSE)</f>
        <v>222383</v>
      </c>
      <c r="F25" s="358">
        <f>VLOOKUP($A25,[0]!Data,165,FALSE)</f>
        <v>538966</v>
      </c>
      <c r="G25" s="358">
        <f>VLOOKUP($A25,[0]!Data,167,FALSE)</f>
        <v>432</v>
      </c>
      <c r="H25" s="358">
        <f>VLOOKUP($A25,[0]!Data,175,FALSE)</f>
        <v>109</v>
      </c>
      <c r="I25" s="358">
        <f>VLOOKUP($A25,[0]!Data,170,FALSE)+VLOOKUP($A25,[0]!Data,197,FALSE)</f>
        <v>55227</v>
      </c>
      <c r="J25" s="358">
        <f>VLOOKUP($A25,[0]!Data,171,FALSE)+VLOOKUP($A25,[0]!Data,198,FALSE)</f>
        <v>49253</v>
      </c>
      <c r="K25" s="358">
        <f>VLOOKUP($A25,[0]!Data,196,FALSE)</f>
        <v>67674</v>
      </c>
      <c r="L25" s="360">
        <f>VLOOKUP($A25,[0]!Data,199,FALSE)</f>
        <v>115</v>
      </c>
      <c r="M25"/>
    </row>
    <row r="26" spans="1:13" x14ac:dyDescent="0.25">
      <c r="A26" s="40" t="s">
        <v>1086</v>
      </c>
      <c r="B26" s="40" t="s">
        <v>1945</v>
      </c>
      <c r="C26" s="358">
        <f>VLOOKUP($A26,[0]!Data,162,FALSE)</f>
        <v>71537</v>
      </c>
      <c r="D26" s="358">
        <f>VLOOKUP($A26,[0]!Data,163,FALSE)</f>
        <v>2595</v>
      </c>
      <c r="E26" s="358">
        <f>VLOOKUP($A26,[0]!Data,164,FALSE)</f>
        <v>29605</v>
      </c>
      <c r="F26" s="358">
        <f>VLOOKUP($A26,[0]!Data,165,FALSE)</f>
        <v>103737</v>
      </c>
      <c r="G26" s="358">
        <f>VLOOKUP($A26,[0]!Data,167,FALSE)</f>
        <v>100</v>
      </c>
      <c r="H26" s="358">
        <f>VLOOKUP($A26,[0]!Data,175,FALSE)</f>
        <v>89</v>
      </c>
      <c r="I26" s="358">
        <f>VLOOKUP($A26,[0]!Data,170,FALSE)+VLOOKUP($A26,[0]!Data,197,FALSE)</f>
        <v>6551</v>
      </c>
      <c r="J26" s="358">
        <f>VLOOKUP($A26,[0]!Data,171,FALSE)+VLOOKUP($A26,[0]!Data,198,FALSE)</f>
        <v>1022</v>
      </c>
      <c r="K26" s="358">
        <f>VLOOKUP($A26,[0]!Data,196,FALSE)</f>
        <v>52882</v>
      </c>
      <c r="L26" s="360">
        <f>VLOOKUP($A26,[0]!Data,199,FALSE)</f>
        <v>0</v>
      </c>
      <c r="M26"/>
    </row>
    <row r="27" spans="1:13" x14ac:dyDescent="0.25">
      <c r="A27" s="40" t="s">
        <v>1132</v>
      </c>
      <c r="B27" s="40" t="s">
        <v>1946</v>
      </c>
      <c r="C27" s="358">
        <f>VLOOKUP($A27,[0]!Data,162,FALSE)</f>
        <v>366660</v>
      </c>
      <c r="D27" s="358">
        <f>VLOOKUP($A27,[0]!Data,163,FALSE)</f>
        <v>19951</v>
      </c>
      <c r="E27" s="358">
        <f>VLOOKUP($A27,[0]!Data,164,FALSE)</f>
        <v>211199</v>
      </c>
      <c r="F27" s="358">
        <f>VLOOKUP($A27,[0]!Data,165,FALSE)</f>
        <v>597810</v>
      </c>
      <c r="G27" s="358">
        <f>VLOOKUP($A27,[0]!Data,167,FALSE)</f>
        <v>1528</v>
      </c>
      <c r="H27" s="358">
        <f>VLOOKUP($A27,[0]!Data,175,FALSE)</f>
        <v>116</v>
      </c>
      <c r="I27" s="358">
        <f>VLOOKUP($A27,[0]!Data,170,FALSE)+VLOOKUP($A27,[0]!Data,197,FALSE)</f>
        <v>56702</v>
      </c>
      <c r="J27" s="358">
        <f>VLOOKUP($A27,[0]!Data,171,FALSE)+VLOOKUP($A27,[0]!Data,198,FALSE)</f>
        <v>31632</v>
      </c>
      <c r="K27" s="358">
        <f>VLOOKUP($A27,[0]!Data,196,FALSE)</f>
        <v>120872</v>
      </c>
      <c r="L27" s="360">
        <f>VLOOKUP($A27,[0]!Data,199,FALSE)</f>
        <v>11</v>
      </c>
      <c r="M27"/>
    </row>
    <row r="28" spans="1:13" x14ac:dyDescent="0.25">
      <c r="A28" s="40" t="s">
        <v>1146</v>
      </c>
      <c r="B28" s="40" t="s">
        <v>1947</v>
      </c>
      <c r="C28" s="358">
        <f>VLOOKUP($A28,[0]!Data,162,FALSE)</f>
        <v>59731</v>
      </c>
      <c r="D28" s="358">
        <f>VLOOKUP($A28,[0]!Data,163,FALSE)</f>
        <v>3770</v>
      </c>
      <c r="E28" s="358">
        <f>VLOOKUP($A28,[0]!Data,164,FALSE)</f>
        <v>39192</v>
      </c>
      <c r="F28" s="358">
        <f>VLOOKUP($A28,[0]!Data,165,FALSE)</f>
        <v>102693</v>
      </c>
      <c r="G28" s="358">
        <f>VLOOKUP($A28,[0]!Data,167,FALSE)</f>
        <v>108</v>
      </c>
      <c r="H28" s="358">
        <f>VLOOKUP($A28,[0]!Data,175,FALSE)</f>
        <v>90</v>
      </c>
      <c r="I28" s="358">
        <f>VLOOKUP($A28,[0]!Data,170,FALSE)+VLOOKUP($A28,[0]!Data,197,FALSE)</f>
        <v>8477</v>
      </c>
      <c r="J28" s="358">
        <f>VLOOKUP($A28,[0]!Data,171,FALSE)+VLOOKUP($A28,[0]!Data,198,FALSE)</f>
        <v>4662</v>
      </c>
      <c r="K28" s="358">
        <f>VLOOKUP($A28,[0]!Data,196,FALSE)</f>
        <v>79121</v>
      </c>
      <c r="L28" s="360">
        <f>VLOOKUP($A28,[0]!Data,199,FALSE)</f>
        <v>42</v>
      </c>
      <c r="M28"/>
    </row>
    <row r="29" spans="1:13" x14ac:dyDescent="0.25">
      <c r="A29" s="40" t="s">
        <v>1161</v>
      </c>
      <c r="B29" s="40" t="s">
        <v>1176</v>
      </c>
      <c r="C29" s="358">
        <f>VLOOKUP($A29,[0]!Data,162,FALSE)</f>
        <v>254356</v>
      </c>
      <c r="D29" s="358">
        <f>VLOOKUP($A29,[0]!Data,163,FALSE)</f>
        <v>20972</v>
      </c>
      <c r="E29" s="358">
        <f>VLOOKUP($A29,[0]!Data,164,FALSE)</f>
        <v>143019</v>
      </c>
      <c r="F29" s="358">
        <f>VLOOKUP($A29,[0]!Data,165,FALSE)</f>
        <v>418347</v>
      </c>
      <c r="G29" s="358">
        <f>VLOOKUP($A29,[0]!Data,167,FALSE)</f>
        <v>303</v>
      </c>
      <c r="H29" s="358">
        <f>VLOOKUP($A29,[0]!Data,175,FALSE)</f>
        <v>98</v>
      </c>
      <c r="I29" s="358">
        <f>VLOOKUP($A29,[0]!Data,170,FALSE)+VLOOKUP($A29,[0]!Data,197,FALSE)</f>
        <v>39311</v>
      </c>
      <c r="J29" s="358">
        <f>VLOOKUP($A29,[0]!Data,171,FALSE)+VLOOKUP($A29,[0]!Data,198,FALSE)</f>
        <v>26894</v>
      </c>
      <c r="K29" s="358">
        <f>VLOOKUP($A29,[0]!Data,196,FALSE)</f>
        <v>90447</v>
      </c>
      <c r="L29" s="360">
        <f>VLOOKUP($A29,[0]!Data,199,FALSE)</f>
        <v>158</v>
      </c>
      <c r="M29"/>
    </row>
    <row r="30" spans="1:13" x14ac:dyDescent="0.25">
      <c r="A30" s="40" t="s">
        <v>1187</v>
      </c>
      <c r="B30" s="40" t="s">
        <v>1948</v>
      </c>
      <c r="C30" s="358">
        <f>VLOOKUP($A30,[0]!Data,162,FALSE)</f>
        <v>74187</v>
      </c>
      <c r="D30" s="358">
        <f>VLOOKUP($A30,[0]!Data,163,FALSE)</f>
        <v>7715</v>
      </c>
      <c r="E30" s="358">
        <f>VLOOKUP($A30,[0]!Data,164,FALSE)</f>
        <v>38181</v>
      </c>
      <c r="F30" s="358">
        <f>VLOOKUP($A30,[0]!Data,165,FALSE)</f>
        <v>120083</v>
      </c>
      <c r="G30" s="358">
        <f>VLOOKUP($A30,[0]!Data,167,FALSE)</f>
        <v>175</v>
      </c>
      <c r="H30" s="358">
        <f>VLOOKUP($A30,[0]!Data,175,FALSE)</f>
        <v>93</v>
      </c>
      <c r="I30" s="358">
        <f>VLOOKUP($A30,[0]!Data,170,FALSE)+VLOOKUP($A30,[0]!Data,197,FALSE)</f>
        <v>15664</v>
      </c>
      <c r="J30" s="358">
        <f>VLOOKUP($A30,[0]!Data,171,FALSE)+VLOOKUP($A30,[0]!Data,198,FALSE)</f>
        <v>6386</v>
      </c>
      <c r="K30" s="358">
        <f>VLOOKUP($A30,[0]!Data,196,FALSE)</f>
        <v>79131</v>
      </c>
      <c r="L30" s="360">
        <f>VLOOKUP($A30,[0]!Data,199,FALSE)</f>
        <v>10</v>
      </c>
      <c r="M30"/>
    </row>
    <row r="31" spans="1:13" x14ac:dyDescent="0.25">
      <c r="A31" s="40" t="s">
        <v>1201</v>
      </c>
      <c r="B31" s="40" t="s">
        <v>1949</v>
      </c>
      <c r="C31" s="358">
        <f>VLOOKUP($A31,[0]!Data,162,FALSE)</f>
        <v>286041</v>
      </c>
      <c r="D31" s="358">
        <f>VLOOKUP($A31,[0]!Data,163,FALSE)</f>
        <v>31528</v>
      </c>
      <c r="E31" s="358">
        <f>VLOOKUP($A31,[0]!Data,164,FALSE)</f>
        <v>206243</v>
      </c>
      <c r="F31" s="358">
        <f>VLOOKUP($A31,[0]!Data,165,FALSE)</f>
        <v>523812</v>
      </c>
      <c r="G31" s="358">
        <f>VLOOKUP($A31,[0]!Data,167,FALSE)</f>
        <v>704</v>
      </c>
      <c r="H31" s="358">
        <f>VLOOKUP($A31,[0]!Data,175,FALSE)</f>
        <v>102</v>
      </c>
      <c r="I31" s="358">
        <f>VLOOKUP($A31,[0]!Data,170,FALSE)+VLOOKUP($A31,[0]!Data,197,FALSE)</f>
        <v>51613</v>
      </c>
      <c r="J31" s="358">
        <f>VLOOKUP($A31,[0]!Data,171,FALSE)+VLOOKUP($A31,[0]!Data,198,FALSE)</f>
        <v>61743</v>
      </c>
      <c r="K31" s="358">
        <f>VLOOKUP($A31,[0]!Data,196,FALSE)</f>
        <v>128512</v>
      </c>
      <c r="L31" s="360">
        <f>VLOOKUP($A31,[0]!Data,199,FALSE)</f>
        <v>12</v>
      </c>
      <c r="M31"/>
    </row>
    <row r="32" spans="1:13" x14ac:dyDescent="0.25">
      <c r="A32" s="40" t="s">
        <v>1218</v>
      </c>
      <c r="B32" s="40" t="s">
        <v>1950</v>
      </c>
      <c r="C32" s="358">
        <f>VLOOKUP($A32,[0]!Data,162,FALSE)</f>
        <v>68115</v>
      </c>
      <c r="D32" s="358">
        <f>VLOOKUP($A32,[0]!Data,163,FALSE)</f>
        <v>694</v>
      </c>
      <c r="E32" s="358">
        <f>VLOOKUP($A32,[0]!Data,164,FALSE)</f>
        <v>26396</v>
      </c>
      <c r="F32" s="358">
        <f>VLOOKUP($A32,[0]!Data,165,FALSE)</f>
        <v>95205</v>
      </c>
      <c r="G32" s="358">
        <f>VLOOKUP($A32,[0]!Data,167,FALSE)</f>
        <v>14</v>
      </c>
      <c r="H32" s="358">
        <f>VLOOKUP($A32,[0]!Data,175,FALSE)</f>
        <v>89</v>
      </c>
      <c r="I32" s="358">
        <f>VLOOKUP($A32,[0]!Data,170,FALSE)+VLOOKUP($A32,[0]!Data,197,FALSE)</f>
        <v>6195</v>
      </c>
      <c r="J32" s="358">
        <f>VLOOKUP($A32,[0]!Data,171,FALSE)+VLOOKUP($A32,[0]!Data,198,FALSE)</f>
        <v>393</v>
      </c>
      <c r="K32" s="358">
        <f>VLOOKUP($A32,[0]!Data,196,FALSE)</f>
        <v>52685</v>
      </c>
      <c r="L32" s="360">
        <f>VLOOKUP($A32,[0]!Data,199,FALSE)</f>
        <v>0</v>
      </c>
      <c r="M32"/>
    </row>
    <row r="33" spans="1:13" x14ac:dyDescent="0.25">
      <c r="A33" s="40" t="s">
        <v>1232</v>
      </c>
      <c r="B33" s="40" t="s">
        <v>1951</v>
      </c>
      <c r="C33" s="358">
        <f>VLOOKUP($A33,[0]!Data,162,FALSE)</f>
        <v>93511</v>
      </c>
      <c r="D33" s="358">
        <f>VLOOKUP($A33,[0]!Data,163,FALSE)</f>
        <v>5798</v>
      </c>
      <c r="E33" s="358">
        <f>VLOOKUP($A33,[0]!Data,164,FALSE)</f>
        <v>82884</v>
      </c>
      <c r="F33" s="358">
        <f>VLOOKUP($A33,[0]!Data,165,FALSE)</f>
        <v>182193</v>
      </c>
      <c r="G33" s="358">
        <f>VLOOKUP($A33,[0]!Data,167,FALSE)</f>
        <v>123</v>
      </c>
      <c r="H33" s="358">
        <f>VLOOKUP($A33,[0]!Data,175,FALSE)</f>
        <v>88</v>
      </c>
      <c r="I33" s="358">
        <f>VLOOKUP($A33,[0]!Data,170,FALSE)+VLOOKUP($A33,[0]!Data,197,FALSE)</f>
        <v>12083</v>
      </c>
      <c r="J33" s="358">
        <f>VLOOKUP($A33,[0]!Data,171,FALSE)+VLOOKUP($A33,[0]!Data,198,FALSE)</f>
        <v>10567</v>
      </c>
      <c r="K33" s="358">
        <f>VLOOKUP($A33,[0]!Data,196,FALSE)</f>
        <v>79332</v>
      </c>
      <c r="L33" s="360">
        <f>VLOOKUP($A33,[0]!Data,199,FALSE)</f>
        <v>0</v>
      </c>
      <c r="M33"/>
    </row>
    <row r="34" spans="1:13" x14ac:dyDescent="0.25">
      <c r="A34" s="40" t="s">
        <v>1256</v>
      </c>
      <c r="B34" s="40" t="s">
        <v>1952</v>
      </c>
      <c r="C34" s="358">
        <f>VLOOKUP($A34,[0]!Data,162,FALSE)</f>
        <v>91197</v>
      </c>
      <c r="D34" s="358">
        <f>VLOOKUP($A34,[0]!Data,163,FALSE)</f>
        <v>4357</v>
      </c>
      <c r="E34" s="358">
        <f>VLOOKUP($A34,[0]!Data,164,FALSE)</f>
        <v>34732</v>
      </c>
      <c r="F34" s="358">
        <f>VLOOKUP($A34,[0]!Data,165,FALSE)</f>
        <v>130286</v>
      </c>
      <c r="G34" s="358">
        <f>VLOOKUP($A34,[0]!Data,167,FALSE)</f>
        <v>227</v>
      </c>
      <c r="H34" s="358">
        <f>VLOOKUP($A34,[0]!Data,175,FALSE)</f>
        <v>95</v>
      </c>
      <c r="I34" s="358">
        <f>VLOOKUP($A34,[0]!Data,170,FALSE)+VLOOKUP($A34,[0]!Data,197,FALSE)</f>
        <v>30470</v>
      </c>
      <c r="J34" s="358">
        <f>VLOOKUP($A34,[0]!Data,171,FALSE)+VLOOKUP($A34,[0]!Data,198,FALSE)</f>
        <v>7441</v>
      </c>
      <c r="K34" s="358">
        <f>VLOOKUP($A34,[0]!Data,196,FALSE)</f>
        <v>89428</v>
      </c>
      <c r="L34" s="360">
        <f>VLOOKUP($A34,[0]!Data,199,FALSE)</f>
        <v>47</v>
      </c>
      <c r="M34"/>
    </row>
    <row r="35" spans="1:13" x14ac:dyDescent="0.25">
      <c r="A35" s="40" t="s">
        <v>1268</v>
      </c>
      <c r="B35" s="40" t="s">
        <v>1953</v>
      </c>
      <c r="C35" s="358">
        <f>VLOOKUP($A35,[0]!Data,162,FALSE)</f>
        <v>164143</v>
      </c>
      <c r="D35" s="358">
        <f>VLOOKUP($A35,[0]!Data,163,FALSE)</f>
        <v>14258</v>
      </c>
      <c r="E35" s="358">
        <f>VLOOKUP($A35,[0]!Data,164,FALSE)</f>
        <v>77329</v>
      </c>
      <c r="F35" s="358">
        <f>VLOOKUP($A35,[0]!Data,165,FALSE)</f>
        <v>255730</v>
      </c>
      <c r="G35" s="358">
        <f>VLOOKUP($A35,[0]!Data,167,FALSE)</f>
        <v>314</v>
      </c>
      <c r="H35" s="358">
        <f>VLOOKUP($A35,[0]!Data,175,FALSE)</f>
        <v>97</v>
      </c>
      <c r="I35" s="358">
        <f>VLOOKUP($A35,[0]!Data,170,FALSE)+VLOOKUP($A35,[0]!Data,197,FALSE)</f>
        <v>33321</v>
      </c>
      <c r="J35" s="358">
        <f>VLOOKUP($A35,[0]!Data,171,FALSE)+VLOOKUP($A35,[0]!Data,198,FALSE)</f>
        <v>18581</v>
      </c>
      <c r="K35" s="358">
        <f>VLOOKUP($A35,[0]!Data,196,FALSE)</f>
        <v>91431</v>
      </c>
      <c r="L35" s="360">
        <f>VLOOKUP($A35,[0]!Data,199,FALSE)</f>
        <v>85</v>
      </c>
      <c r="M35"/>
    </row>
    <row r="36" spans="1:13" x14ac:dyDescent="0.25">
      <c r="A36" s="40" t="s">
        <v>1328</v>
      </c>
      <c r="B36" s="40" t="s">
        <v>1954</v>
      </c>
      <c r="C36" s="358">
        <f>VLOOKUP($A36,[0]!Data,162,FALSE)</f>
        <v>144172</v>
      </c>
      <c r="D36" s="358">
        <f>VLOOKUP($A36,[0]!Data,163,FALSE)</f>
        <v>13472</v>
      </c>
      <c r="E36" s="358">
        <f>VLOOKUP($A36,[0]!Data,164,FALSE)</f>
        <v>67757</v>
      </c>
      <c r="F36" s="358">
        <f>VLOOKUP($A36,[0]!Data,165,FALSE)</f>
        <v>225401</v>
      </c>
      <c r="G36" s="358">
        <f>VLOOKUP($A36,[0]!Data,167,FALSE)</f>
        <v>91</v>
      </c>
      <c r="H36" s="358">
        <f>VLOOKUP($A36,[0]!Data,175,FALSE)</f>
        <v>94</v>
      </c>
      <c r="I36" s="358">
        <f>VLOOKUP($A36,[0]!Data,170,FALSE)+VLOOKUP($A36,[0]!Data,197,FALSE)</f>
        <v>15079</v>
      </c>
      <c r="J36" s="358">
        <f>VLOOKUP($A36,[0]!Data,171,FALSE)+VLOOKUP($A36,[0]!Data,198,FALSE)</f>
        <v>668</v>
      </c>
      <c r="K36" s="358">
        <f>VLOOKUP($A36,[0]!Data,196,FALSE)</f>
        <v>63918</v>
      </c>
      <c r="L36" s="360">
        <f>VLOOKUP($A36,[0]!Data,199,FALSE)</f>
        <v>100</v>
      </c>
      <c r="M36"/>
    </row>
    <row r="37" spans="1:13" x14ac:dyDescent="0.25">
      <c r="A37" s="40" t="s">
        <v>1585</v>
      </c>
      <c r="B37" s="40" t="s">
        <v>1316</v>
      </c>
      <c r="C37" s="358">
        <f>VLOOKUP($A37,[0]!Data,162,FALSE)</f>
        <v>145829</v>
      </c>
      <c r="D37" s="358">
        <f>VLOOKUP($A37,[0]!Data,163,FALSE)</f>
        <v>11405</v>
      </c>
      <c r="E37" s="358">
        <f>VLOOKUP($A37,[0]!Data,164,FALSE)</f>
        <v>80312</v>
      </c>
      <c r="F37" s="358">
        <f>VLOOKUP($A37,[0]!Data,165,FALSE)</f>
        <v>237546</v>
      </c>
      <c r="G37" s="358">
        <f>VLOOKUP($A37,[0]!Data,167,FALSE)</f>
        <v>50</v>
      </c>
      <c r="H37" s="358">
        <f>VLOOKUP($A37,[0]!Data,175,FALSE)</f>
        <v>88</v>
      </c>
      <c r="I37" s="358">
        <f>VLOOKUP($A37,[0]!Data,170,FALSE)+VLOOKUP($A37,[0]!Data,197,FALSE)</f>
        <v>12560</v>
      </c>
      <c r="J37" s="358">
        <f>VLOOKUP($A37,[0]!Data,171,FALSE)+VLOOKUP($A37,[0]!Data,198,FALSE)</f>
        <v>6491</v>
      </c>
      <c r="K37" s="358">
        <f>VLOOKUP($A37,[0]!Data,196,FALSE)</f>
        <v>53282</v>
      </c>
      <c r="L37" s="360">
        <f>VLOOKUP($A37,[0]!Data,199,FALSE)</f>
        <v>0</v>
      </c>
      <c r="M37"/>
    </row>
    <row r="38" spans="1:13" x14ac:dyDescent="0.25">
      <c r="A38" s="40" t="s">
        <v>1352</v>
      </c>
      <c r="B38" s="40" t="s">
        <v>1955</v>
      </c>
      <c r="C38" s="358">
        <f>VLOOKUP($A38,[0]!Data,162,FALSE)</f>
        <v>79640</v>
      </c>
      <c r="D38" s="358">
        <f>VLOOKUP($A38,[0]!Data,163,FALSE)</f>
        <v>1618</v>
      </c>
      <c r="E38" s="358">
        <f>VLOOKUP($A38,[0]!Data,164,FALSE)</f>
        <v>39750</v>
      </c>
      <c r="F38" s="358">
        <f>VLOOKUP($A38,[0]!Data,165,FALSE)</f>
        <v>121008</v>
      </c>
      <c r="G38" s="358">
        <f>VLOOKUP($A38,[0]!Data,167,FALSE)</f>
        <v>95</v>
      </c>
      <c r="H38" s="358">
        <f>VLOOKUP($A38,[0]!Data,175,FALSE)</f>
        <v>88</v>
      </c>
      <c r="I38" s="358">
        <f>VLOOKUP($A38,[0]!Data,170,FALSE)+VLOOKUP($A38,[0]!Data,197,FALSE)</f>
        <v>10114</v>
      </c>
      <c r="J38" s="358">
        <f>VLOOKUP($A38,[0]!Data,171,FALSE)+VLOOKUP($A38,[0]!Data,198,FALSE)</f>
        <v>5345</v>
      </c>
      <c r="K38" s="358">
        <f>VLOOKUP($A38,[0]!Data,196,FALSE)</f>
        <v>79121</v>
      </c>
      <c r="L38" s="360">
        <f>VLOOKUP($A38,[0]!Data,199,FALSE)</f>
        <v>0</v>
      </c>
      <c r="M38"/>
    </row>
    <row r="39" spans="1:13" x14ac:dyDescent="0.25">
      <c r="A39" s="40" t="s">
        <v>1365</v>
      </c>
      <c r="B39" s="40" t="s">
        <v>1956</v>
      </c>
      <c r="C39" s="358">
        <f>VLOOKUP($A39,[0]!Data,162,FALSE)</f>
        <v>72983</v>
      </c>
      <c r="D39" s="358">
        <f>VLOOKUP($A39,[0]!Data,163,FALSE)</f>
        <v>5979</v>
      </c>
      <c r="E39" s="358">
        <f>VLOOKUP($A39,[0]!Data,164,FALSE)</f>
        <v>39765</v>
      </c>
      <c r="F39" s="358">
        <f>VLOOKUP($A39,[0]!Data,165,FALSE)</f>
        <v>118727</v>
      </c>
      <c r="G39" s="358">
        <f>VLOOKUP($A39,[0]!Data,167,FALSE)</f>
        <v>165</v>
      </c>
      <c r="H39" s="358">
        <f>VLOOKUP($A39,[0]!Data,175,FALSE)</f>
        <v>94</v>
      </c>
      <c r="I39" s="358">
        <f>VLOOKUP($A39,[0]!Data,170,FALSE)+VLOOKUP($A39,[0]!Data,197,FALSE)</f>
        <v>26587</v>
      </c>
      <c r="J39" s="358">
        <f>VLOOKUP($A39,[0]!Data,171,FALSE)+VLOOKUP($A39,[0]!Data,198,FALSE)</f>
        <v>14275</v>
      </c>
      <c r="K39" s="358">
        <f>VLOOKUP($A39,[0]!Data,196,FALSE)</f>
        <v>92590</v>
      </c>
      <c r="L39" s="360">
        <f>VLOOKUP($A39,[0]!Data,199,FALSE)</f>
        <v>210</v>
      </c>
      <c r="M39"/>
    </row>
    <row r="40" spans="1:13" x14ac:dyDescent="0.25">
      <c r="A40" s="40" t="s">
        <v>1383</v>
      </c>
      <c r="B40" s="40" t="s">
        <v>1957</v>
      </c>
      <c r="C40" s="358">
        <f>VLOOKUP($A40,[0]!Data,162,FALSE)</f>
        <v>34800</v>
      </c>
      <c r="D40" s="358">
        <f>VLOOKUP($A40,[0]!Data,163,FALSE)</f>
        <v>1938</v>
      </c>
      <c r="E40" s="358">
        <f>VLOOKUP($A40,[0]!Data,164,FALSE)</f>
        <v>16071</v>
      </c>
      <c r="F40" s="358">
        <f>VLOOKUP($A40,[0]!Data,165,FALSE)</f>
        <v>52809</v>
      </c>
      <c r="G40" s="358">
        <f>VLOOKUP($A40,[0]!Data,167,FALSE)</f>
        <v>112</v>
      </c>
      <c r="H40" s="358">
        <f>VLOOKUP($A40,[0]!Data,175,FALSE)</f>
        <v>89</v>
      </c>
      <c r="I40" s="358">
        <f>VLOOKUP($A40,[0]!Data,170,FALSE)+VLOOKUP($A40,[0]!Data,197,FALSE)</f>
        <v>10106</v>
      </c>
      <c r="J40" s="358">
        <f>VLOOKUP($A40,[0]!Data,171,FALSE)+VLOOKUP($A40,[0]!Data,198,FALSE)</f>
        <v>6674</v>
      </c>
      <c r="K40" s="358">
        <f>VLOOKUP($A40,[0]!Data,196,FALSE)</f>
        <v>79182</v>
      </c>
      <c r="L40" s="360">
        <f>VLOOKUP($A40,[0]!Data,199,FALSE)</f>
        <v>42</v>
      </c>
      <c r="M40"/>
    </row>
    <row r="41" spans="1:13" x14ac:dyDescent="0.25">
      <c r="A41" s="40" t="s">
        <v>1397</v>
      </c>
      <c r="B41" s="40" t="s">
        <v>1958</v>
      </c>
      <c r="C41" s="358">
        <f>VLOOKUP($A41,[0]!Data,162,FALSE)</f>
        <v>61737</v>
      </c>
      <c r="D41" s="358">
        <f>VLOOKUP($A41,[0]!Data,163,FALSE)</f>
        <v>3835</v>
      </c>
      <c r="E41" s="358">
        <f>VLOOKUP($A41,[0]!Data,164,FALSE)</f>
        <v>22208</v>
      </c>
      <c r="F41" s="358">
        <f>VLOOKUP($A41,[0]!Data,165,FALSE)</f>
        <v>87780</v>
      </c>
      <c r="G41" s="358">
        <f>VLOOKUP($A41,[0]!Data,167,FALSE)</f>
        <v>122</v>
      </c>
      <c r="H41" s="358">
        <f>VLOOKUP($A41,[0]!Data,175,FALSE)</f>
        <v>92</v>
      </c>
      <c r="I41" s="358">
        <f>VLOOKUP($A41,[0]!Data,170,FALSE)+VLOOKUP($A41,[0]!Data,197,FALSE)</f>
        <v>12367</v>
      </c>
      <c r="J41" s="358">
        <f>VLOOKUP($A41,[0]!Data,171,FALSE)+VLOOKUP($A41,[0]!Data,198,FALSE)</f>
        <v>7642</v>
      </c>
      <c r="K41" s="358">
        <f>VLOOKUP($A41,[0]!Data,196,FALSE)</f>
        <v>79183</v>
      </c>
      <c r="L41" s="360">
        <f>VLOOKUP($A41,[0]!Data,199,FALSE)</f>
        <v>0</v>
      </c>
      <c r="M41"/>
    </row>
    <row r="42" spans="1:13" x14ac:dyDescent="0.25">
      <c r="A42" s="40" t="s">
        <v>915</v>
      </c>
      <c r="B42" s="40" t="s">
        <v>1959</v>
      </c>
      <c r="C42" s="358">
        <f>VLOOKUP($A42,[0]!Data,162,FALSE)</f>
        <v>467246</v>
      </c>
      <c r="D42" s="358">
        <f>VLOOKUP($A42,[0]!Data,163,FALSE)</f>
        <v>63321</v>
      </c>
      <c r="E42" s="358">
        <f>VLOOKUP($A42,[0]!Data,164,FALSE)</f>
        <v>356799</v>
      </c>
      <c r="F42" s="358">
        <f>VLOOKUP($A42,[0]!Data,165,FALSE)</f>
        <v>887366</v>
      </c>
      <c r="G42" s="358">
        <f>VLOOKUP($A42,[0]!Data,167,FALSE)</f>
        <v>1858</v>
      </c>
      <c r="H42" s="358">
        <f>VLOOKUP($A42,[0]!Data,175,FALSE)</f>
        <v>113</v>
      </c>
      <c r="I42" s="358">
        <f>VLOOKUP($A42,[0]!Data,170,FALSE)+VLOOKUP($A42,[0]!Data,197,FALSE)</f>
        <v>72848</v>
      </c>
      <c r="J42" s="358">
        <f>VLOOKUP($A42,[0]!Data,171,FALSE)+VLOOKUP($A42,[0]!Data,198,FALSE)</f>
        <v>31869</v>
      </c>
      <c r="K42" s="358">
        <f>VLOOKUP($A42,[0]!Data,196,FALSE)</f>
        <v>90476</v>
      </c>
      <c r="L42" s="360">
        <f>VLOOKUP($A42,[0]!Data,199,FALSE)</f>
        <v>194</v>
      </c>
      <c r="M42"/>
    </row>
    <row r="43" spans="1:13" x14ac:dyDescent="0.25">
      <c r="A43" s="40" t="s">
        <v>789</v>
      </c>
      <c r="B43" s="40" t="s">
        <v>1960</v>
      </c>
      <c r="C43" s="358">
        <f>VLOOKUP($A43,[0]!Data,162,FALSE)</f>
        <v>42637</v>
      </c>
      <c r="D43" s="358">
        <f>VLOOKUP($A43,[0]!Data,163,FALSE)</f>
        <v>5404</v>
      </c>
      <c r="E43" s="358">
        <f>VLOOKUP($A43,[0]!Data,164,FALSE)</f>
        <v>41943</v>
      </c>
      <c r="F43" s="358">
        <f>VLOOKUP($A43,[0]!Data,165,FALSE)</f>
        <v>89984</v>
      </c>
      <c r="G43" s="358">
        <f>VLOOKUP($A43,[0]!Data,167,FALSE)</f>
        <v>81</v>
      </c>
      <c r="H43" s="358">
        <f>VLOOKUP($A43,[0]!Data,175,FALSE)</f>
        <v>91</v>
      </c>
      <c r="I43" s="358">
        <f>VLOOKUP($A43,[0]!Data,170,FALSE)+VLOOKUP($A43,[0]!Data,197,FALSE)</f>
        <v>10104</v>
      </c>
      <c r="J43" s="358">
        <f>VLOOKUP($A43,[0]!Data,171,FALSE)+VLOOKUP($A43,[0]!Data,198,FALSE)</f>
        <v>2974</v>
      </c>
      <c r="K43" s="358">
        <f>VLOOKUP($A43,[0]!Data,196,FALSE)</f>
        <v>79121</v>
      </c>
      <c r="L43" s="360">
        <f>VLOOKUP($A43,[0]!Data,199,FALSE)</f>
        <v>0</v>
      </c>
      <c r="M43"/>
    </row>
    <row r="44" spans="1:13" x14ac:dyDescent="0.25">
      <c r="A44" s="40" t="s">
        <v>1456</v>
      </c>
      <c r="B44" s="40" t="s">
        <v>1961</v>
      </c>
      <c r="C44" s="358">
        <f>VLOOKUP($A44,[0]!Data,162,FALSE)</f>
        <v>237586</v>
      </c>
      <c r="D44" s="358">
        <f>VLOOKUP($A44,[0]!Data,163,FALSE)</f>
        <v>13482</v>
      </c>
      <c r="E44" s="358">
        <f>VLOOKUP($A44,[0]!Data,164,FALSE)</f>
        <v>113693</v>
      </c>
      <c r="F44" s="358">
        <f>VLOOKUP($A44,[0]!Data,165,FALSE)</f>
        <v>364761</v>
      </c>
      <c r="G44" s="358">
        <f>VLOOKUP($A44,[0]!Data,167,FALSE)</f>
        <v>447</v>
      </c>
      <c r="H44" s="358">
        <f>VLOOKUP($A44,[0]!Data,175,FALSE)</f>
        <v>133</v>
      </c>
      <c r="I44" s="358">
        <f>VLOOKUP($A44,[0]!Data,170,FALSE)+VLOOKUP($A44,[0]!Data,197,FALSE)</f>
        <v>35448</v>
      </c>
      <c r="J44" s="358">
        <f>VLOOKUP($A44,[0]!Data,171,FALSE)+VLOOKUP($A44,[0]!Data,198,FALSE)</f>
        <v>27731</v>
      </c>
      <c r="K44" s="358">
        <f>VLOOKUP($A44,[0]!Data,196,FALSE)</f>
        <v>92033</v>
      </c>
      <c r="L44" s="360">
        <f>VLOOKUP($A44,[0]!Data,199,FALSE)</f>
        <v>74</v>
      </c>
      <c r="M44"/>
    </row>
    <row r="45" spans="1:13" x14ac:dyDescent="0.25">
      <c r="A45" s="40" t="s">
        <v>1489</v>
      </c>
      <c r="B45" s="40" t="s">
        <v>1962</v>
      </c>
      <c r="C45" s="358">
        <f>VLOOKUP($A45,[0]!Data,162,FALSE)</f>
        <v>61011</v>
      </c>
      <c r="D45" s="358">
        <f>VLOOKUP($A45,[0]!Data,163,FALSE)</f>
        <v>7409</v>
      </c>
      <c r="E45" s="358">
        <f>VLOOKUP($A45,[0]!Data,164,FALSE)</f>
        <v>39207</v>
      </c>
      <c r="F45" s="358">
        <f>VLOOKUP($A45,[0]!Data,165,FALSE)</f>
        <v>107627</v>
      </c>
      <c r="G45" s="358">
        <f>VLOOKUP($A45,[0]!Data,167,FALSE)</f>
        <v>78</v>
      </c>
      <c r="H45" s="358">
        <f>VLOOKUP($A45,[0]!Data,175,FALSE)</f>
        <v>96</v>
      </c>
      <c r="I45" s="358">
        <f>VLOOKUP($A45,[0]!Data,170,FALSE)+VLOOKUP($A45,[0]!Data,197,FALSE)</f>
        <v>27400</v>
      </c>
      <c r="J45" s="358">
        <f>VLOOKUP($A45,[0]!Data,171,FALSE)+VLOOKUP($A45,[0]!Data,198,FALSE)</f>
        <v>10921</v>
      </c>
      <c r="K45" s="358">
        <f>VLOOKUP($A45,[0]!Data,196,FALSE)</f>
        <v>90152</v>
      </c>
      <c r="L45" s="360">
        <f>VLOOKUP($A45,[0]!Data,199,FALSE)</f>
        <v>85</v>
      </c>
      <c r="M45"/>
    </row>
    <row r="46" spans="1:13" x14ac:dyDescent="0.25">
      <c r="A46" s="40" t="s">
        <v>1501</v>
      </c>
      <c r="B46" s="40" t="s">
        <v>1516</v>
      </c>
      <c r="C46" s="358">
        <f>VLOOKUP($A46,[0]!Data,162,FALSE)</f>
        <v>47173</v>
      </c>
      <c r="D46" s="358">
        <f>VLOOKUP($A46,[0]!Data,163,FALSE)</f>
        <v>6079</v>
      </c>
      <c r="E46" s="358">
        <f>VLOOKUP($A46,[0]!Data,164,FALSE)</f>
        <v>41548</v>
      </c>
      <c r="F46" s="358">
        <f>VLOOKUP($A46,[0]!Data,165,FALSE)</f>
        <v>94800</v>
      </c>
      <c r="G46" s="358">
        <f>VLOOKUP($A46,[0]!Data,167,FALSE)</f>
        <v>203</v>
      </c>
      <c r="H46" s="358">
        <f>VLOOKUP($A46,[0]!Data,175,FALSE)</f>
        <v>97</v>
      </c>
      <c r="I46" s="358">
        <f>VLOOKUP($A46,[0]!Data,170,FALSE)+VLOOKUP($A46,[0]!Data,197,FALSE)</f>
        <v>12311</v>
      </c>
      <c r="J46" s="358">
        <f>VLOOKUP($A46,[0]!Data,171,FALSE)+VLOOKUP($A46,[0]!Data,198,FALSE)</f>
        <v>8298</v>
      </c>
      <c r="K46" s="358">
        <f>VLOOKUP($A46,[0]!Data,196,FALSE)</f>
        <v>53729</v>
      </c>
      <c r="L46" s="360">
        <f>VLOOKUP($A46,[0]!Data,199,FALSE)</f>
        <v>0</v>
      </c>
      <c r="M46"/>
    </row>
    <row r="47" spans="1:13" x14ac:dyDescent="0.25">
      <c r="A47" s="40" t="s">
        <v>1518</v>
      </c>
      <c r="B47" s="40" t="s">
        <v>1963</v>
      </c>
      <c r="C47" s="358">
        <f>VLOOKUP($A47,[0]!Data,162,FALSE)</f>
        <v>66128</v>
      </c>
      <c r="D47" s="358">
        <f>VLOOKUP($A47,[0]!Data,163,FALSE)</f>
        <v>3673</v>
      </c>
      <c r="E47" s="358">
        <f>VLOOKUP($A47,[0]!Data,164,FALSE)</f>
        <v>39554</v>
      </c>
      <c r="F47" s="358">
        <f>VLOOKUP($A47,[0]!Data,165,FALSE)</f>
        <v>109355</v>
      </c>
      <c r="G47" s="358">
        <f>VLOOKUP($A47,[0]!Data,167,FALSE)</f>
        <v>116</v>
      </c>
      <c r="H47" s="358">
        <f>VLOOKUP($A47,[0]!Data,175,FALSE)</f>
        <v>91</v>
      </c>
      <c r="I47" s="358">
        <f>VLOOKUP($A47,[0]!Data,170,FALSE)+VLOOKUP($A47,[0]!Data,197,FALSE)</f>
        <v>10033</v>
      </c>
      <c r="J47" s="358">
        <f>VLOOKUP($A47,[0]!Data,171,FALSE)+VLOOKUP($A47,[0]!Data,198,FALSE)</f>
        <v>3161</v>
      </c>
      <c r="K47" s="358">
        <f>VLOOKUP($A47,[0]!Data,196,FALSE)</f>
        <v>79155</v>
      </c>
      <c r="L47" s="360">
        <f>VLOOKUP($A47,[0]!Data,199,FALSE)</f>
        <v>118</v>
      </c>
      <c r="M47"/>
    </row>
    <row r="48" spans="1:13" x14ac:dyDescent="0.25">
      <c r="A48" s="40" t="s">
        <v>1544</v>
      </c>
      <c r="B48" s="40" t="s">
        <v>1964</v>
      </c>
      <c r="C48" s="358">
        <f>VLOOKUP($A48,[0]!Data,162,FALSE)</f>
        <v>37437</v>
      </c>
      <c r="D48" s="358">
        <f>VLOOKUP($A48,[0]!Data,163,FALSE)</f>
        <v>3229</v>
      </c>
      <c r="E48" s="358">
        <f>VLOOKUP($A48,[0]!Data,164,FALSE)</f>
        <v>27369</v>
      </c>
      <c r="F48" s="358">
        <f>VLOOKUP($A48,[0]!Data,165,FALSE)</f>
        <v>68035</v>
      </c>
      <c r="G48" s="358">
        <f>VLOOKUP($A48,[0]!Data,167,FALSE)</f>
        <v>99</v>
      </c>
      <c r="H48" s="358">
        <f>VLOOKUP($A48,[0]!Data,175,FALSE)</f>
        <v>96</v>
      </c>
      <c r="I48" s="358">
        <f>VLOOKUP($A48,[0]!Data,170,FALSE)+VLOOKUP($A48,[0]!Data,197,FALSE)</f>
        <v>14036</v>
      </c>
      <c r="J48" s="358">
        <f>VLOOKUP($A48,[0]!Data,171,FALSE)+VLOOKUP($A48,[0]!Data,198,FALSE)</f>
        <v>2443</v>
      </c>
      <c r="K48" s="358">
        <f>VLOOKUP($A48,[0]!Data,196,FALSE)</f>
        <v>79203</v>
      </c>
      <c r="L48" s="360">
        <f>VLOOKUP($A48,[0]!Data,199,FALSE)</f>
        <v>50</v>
      </c>
      <c r="M48"/>
    </row>
    <row r="49" spans="1:14" x14ac:dyDescent="0.25">
      <c r="A49" s="40" t="s">
        <v>1727</v>
      </c>
      <c r="B49" s="40" t="s">
        <v>1965</v>
      </c>
      <c r="C49" s="358">
        <f>VLOOKUP($A49,[0]!Data,162,FALSE)</f>
        <v>123941</v>
      </c>
      <c r="D49" s="358">
        <f>VLOOKUP($A49,[0]!Data,163,FALSE)</f>
        <v>10395</v>
      </c>
      <c r="E49" s="358">
        <f>VLOOKUP($A49,[0]!Data,164,FALSE)</f>
        <v>70910</v>
      </c>
      <c r="F49" s="358">
        <f>VLOOKUP($A49,[0]!Data,165,FALSE)</f>
        <v>205246</v>
      </c>
      <c r="G49" s="358">
        <f>VLOOKUP($A49,[0]!Data,167,FALSE)</f>
        <v>194</v>
      </c>
      <c r="H49" s="358">
        <f>VLOOKUP($A49,[0]!Data,175,FALSE)</f>
        <v>101</v>
      </c>
      <c r="I49" s="358">
        <f>VLOOKUP($A49,[0]!Data,170,FALSE)+VLOOKUP($A49,[0]!Data,197,FALSE)</f>
        <v>14970</v>
      </c>
      <c r="J49" s="358">
        <f>VLOOKUP($A49,[0]!Data,171,FALSE)+VLOOKUP($A49,[0]!Data,198,FALSE)</f>
        <v>11237</v>
      </c>
      <c r="K49" s="358">
        <f>VLOOKUP($A49,[0]!Data,196,FALSE)</f>
        <v>55224</v>
      </c>
      <c r="L49" s="360">
        <f>VLOOKUP($A49,[0]!Data,199,FALSE)</f>
        <v>0</v>
      </c>
      <c r="M49"/>
    </row>
    <row r="50" spans="1:14" x14ac:dyDescent="0.25">
      <c r="A50" s="40" t="s">
        <v>1573</v>
      </c>
      <c r="B50" s="40" t="s">
        <v>1966</v>
      </c>
      <c r="C50" s="358">
        <f>VLOOKUP($A50,[0]!Data,162,FALSE)</f>
        <v>27767</v>
      </c>
      <c r="D50" s="358">
        <f>VLOOKUP($A50,[0]!Data,163,FALSE)</f>
        <v>2694</v>
      </c>
      <c r="E50" s="358">
        <f>VLOOKUP($A50,[0]!Data,164,FALSE)</f>
        <v>11346</v>
      </c>
      <c r="F50" s="358">
        <f>VLOOKUP($A50,[0]!Data,165,FALSE)</f>
        <v>41807</v>
      </c>
      <c r="G50" s="358">
        <f>VLOOKUP($A50,[0]!Data,167,FALSE)</f>
        <v>144</v>
      </c>
      <c r="H50" s="358">
        <f>VLOOKUP($A50,[0]!Data,175,FALSE)</f>
        <v>89</v>
      </c>
      <c r="I50" s="358">
        <f>VLOOKUP($A50,[0]!Data,170,FALSE)+VLOOKUP($A50,[0]!Data,197,FALSE)</f>
        <v>21285</v>
      </c>
      <c r="J50" s="358">
        <f>VLOOKUP($A50,[0]!Data,171,FALSE)+VLOOKUP($A50,[0]!Data,198,FALSE)</f>
        <v>7769</v>
      </c>
      <c r="K50" s="358">
        <f>VLOOKUP($A50,[0]!Data,196,FALSE)</f>
        <v>89278</v>
      </c>
      <c r="L50" s="360">
        <f>VLOOKUP($A50,[0]!Data,199,FALSE)</f>
        <v>12</v>
      </c>
      <c r="M50"/>
    </row>
    <row r="51" spans="1:14" x14ac:dyDescent="0.25">
      <c r="A51" s="40" t="s">
        <v>1597</v>
      </c>
      <c r="B51" s="40" t="s">
        <v>1967</v>
      </c>
      <c r="C51" s="358">
        <f>VLOOKUP($A51,[0]!Data,162,FALSE)</f>
        <v>154701</v>
      </c>
      <c r="D51" s="358">
        <f>VLOOKUP($A51,[0]!Data,163,FALSE)</f>
        <v>15199</v>
      </c>
      <c r="E51" s="358">
        <f>VLOOKUP($A51,[0]!Data,164,FALSE)</f>
        <v>85566</v>
      </c>
      <c r="F51" s="358">
        <f>VLOOKUP($A51,[0]!Data,165,FALSE)</f>
        <v>255466</v>
      </c>
      <c r="G51" s="358">
        <f>VLOOKUP($A51,[0]!Data,167,FALSE)</f>
        <v>280</v>
      </c>
      <c r="H51" s="358">
        <f>VLOOKUP($A51,[0]!Data,175,FALSE)</f>
        <v>96</v>
      </c>
      <c r="I51" s="358">
        <f>VLOOKUP($A51,[0]!Data,170,FALSE)+VLOOKUP($A51,[0]!Data,197,FALSE)</f>
        <v>22712</v>
      </c>
      <c r="J51" s="358">
        <f>VLOOKUP($A51,[0]!Data,171,FALSE)+VLOOKUP($A51,[0]!Data,198,FALSE)</f>
        <v>23857</v>
      </c>
      <c r="K51" s="358">
        <f>VLOOKUP($A51,[0]!Data,196,FALSE)</f>
        <v>81432</v>
      </c>
      <c r="L51" s="360">
        <f>VLOOKUP($A51,[0]!Data,199,FALSE)</f>
        <v>60</v>
      </c>
      <c r="M51"/>
    </row>
    <row r="52" spans="1:14" x14ac:dyDescent="0.25">
      <c r="A52" s="40" t="s">
        <v>1625</v>
      </c>
      <c r="B52" s="40" t="s">
        <v>1968</v>
      </c>
      <c r="C52" s="358">
        <f>VLOOKUP($A52,[0]!Data,162,FALSE)</f>
        <v>85004</v>
      </c>
      <c r="D52" s="358">
        <f>VLOOKUP($A52,[0]!Data,163,FALSE)</f>
        <v>5037</v>
      </c>
      <c r="E52" s="358">
        <f>VLOOKUP($A52,[0]!Data,164,FALSE)</f>
        <v>31839</v>
      </c>
      <c r="F52" s="358">
        <f>VLOOKUP($A52,[0]!Data,165,FALSE)</f>
        <v>121880</v>
      </c>
      <c r="G52" s="358">
        <f>VLOOKUP($A52,[0]!Data,167,FALSE)</f>
        <v>114</v>
      </c>
      <c r="H52" s="358">
        <f>VLOOKUP($A52,[0]!Data,175,FALSE)</f>
        <v>89</v>
      </c>
      <c r="I52" s="358">
        <f>VLOOKUP($A52,[0]!Data,170,FALSE)+VLOOKUP($A52,[0]!Data,197,FALSE)</f>
        <v>5838</v>
      </c>
      <c r="J52" s="358">
        <f>VLOOKUP($A52,[0]!Data,171,FALSE)+VLOOKUP($A52,[0]!Data,198,FALSE)</f>
        <v>5114</v>
      </c>
      <c r="K52" s="358">
        <f>VLOOKUP($A52,[0]!Data,196,FALSE)</f>
        <v>52685</v>
      </c>
      <c r="L52" s="360">
        <f>VLOOKUP($A52,[0]!Data,199,FALSE)</f>
        <v>-1</v>
      </c>
      <c r="M52"/>
    </row>
    <row r="53" spans="1:14" x14ac:dyDescent="0.25">
      <c r="A53" s="40" t="s">
        <v>1638</v>
      </c>
      <c r="B53" s="40" t="s">
        <v>1969</v>
      </c>
      <c r="C53" s="358">
        <f>VLOOKUP($A53,[0]!Data,162,FALSE)</f>
        <v>172419</v>
      </c>
      <c r="D53" s="358">
        <f>VLOOKUP($A53,[0]!Data,163,FALSE)</f>
        <v>11245</v>
      </c>
      <c r="E53" s="358">
        <f>VLOOKUP($A53,[0]!Data,164,FALSE)</f>
        <v>66689</v>
      </c>
      <c r="F53" s="358">
        <f>VLOOKUP($A53,[0]!Data,165,FALSE)</f>
        <v>250353</v>
      </c>
      <c r="G53" s="358">
        <f>VLOOKUP($A53,[0]!Data,167,FALSE)</f>
        <v>199</v>
      </c>
      <c r="H53" s="358">
        <f>VLOOKUP($A53,[0]!Data,175,FALSE)</f>
        <v>91</v>
      </c>
      <c r="I53" s="358">
        <f>VLOOKUP($A53,[0]!Data,170,FALSE)+VLOOKUP($A53,[0]!Data,197,FALSE)</f>
        <v>12986</v>
      </c>
      <c r="J53" s="358">
        <f>VLOOKUP($A53,[0]!Data,171,FALSE)+VLOOKUP($A53,[0]!Data,198,FALSE)</f>
        <v>12756</v>
      </c>
      <c r="K53" s="358">
        <f>VLOOKUP($A53,[0]!Data,196,FALSE)</f>
        <v>52684</v>
      </c>
      <c r="L53" s="360">
        <f>VLOOKUP($A53,[0]!Data,199,FALSE)</f>
        <v>43</v>
      </c>
      <c r="M53"/>
    </row>
    <row r="54" spans="1:14" x14ac:dyDescent="0.25">
      <c r="A54" s="40" t="s">
        <v>1655</v>
      </c>
      <c r="B54" s="40" t="s">
        <v>1970</v>
      </c>
      <c r="C54" s="358">
        <f>VLOOKUP($A54,[0]!Data,162,FALSE)</f>
        <v>133922</v>
      </c>
      <c r="D54" s="358">
        <f>VLOOKUP($A54,[0]!Data,163,FALSE)</f>
        <v>14305</v>
      </c>
      <c r="E54" s="358">
        <f>VLOOKUP($A54,[0]!Data,164,FALSE)</f>
        <v>80039</v>
      </c>
      <c r="F54" s="358">
        <f>VLOOKUP($A54,[0]!Data,165,FALSE)</f>
        <v>228266</v>
      </c>
      <c r="G54" s="358">
        <f>VLOOKUP($A54,[0]!Data,167,FALSE)</f>
        <v>193</v>
      </c>
      <c r="H54" s="358">
        <f>VLOOKUP($A54,[0]!Data,175,FALSE)</f>
        <v>95</v>
      </c>
      <c r="I54" s="358">
        <f>VLOOKUP($A54,[0]!Data,170,FALSE)+VLOOKUP($A54,[0]!Data,197,FALSE)</f>
        <v>24129</v>
      </c>
      <c r="J54" s="358">
        <f>VLOOKUP($A54,[0]!Data,171,FALSE)+VLOOKUP($A54,[0]!Data,198,FALSE)</f>
        <v>20086</v>
      </c>
      <c r="K54" s="358">
        <f>VLOOKUP($A54,[0]!Data,196,FALSE)</f>
        <v>89539</v>
      </c>
      <c r="L54" s="360">
        <f>VLOOKUP($A54,[0]!Data,199,FALSE)</f>
        <v>12</v>
      </c>
      <c r="M54"/>
    </row>
    <row r="55" spans="1:14" x14ac:dyDescent="0.25">
      <c r="A55" s="40" t="s">
        <v>1671</v>
      </c>
      <c r="B55" s="40" t="s">
        <v>1971</v>
      </c>
      <c r="C55" s="358">
        <f>VLOOKUP($A55,[0]!Data,162,FALSE)</f>
        <v>53723</v>
      </c>
      <c r="D55" s="358">
        <f>VLOOKUP($A55,[0]!Data,163,FALSE)</f>
        <v>2480</v>
      </c>
      <c r="E55" s="358">
        <f>VLOOKUP($A55,[0]!Data,164,FALSE)</f>
        <v>23984</v>
      </c>
      <c r="F55" s="358">
        <f>VLOOKUP($A55,[0]!Data,165,FALSE)</f>
        <v>80187</v>
      </c>
      <c r="G55" s="358">
        <f>VLOOKUP($A55,[0]!Data,167,FALSE)</f>
        <v>53</v>
      </c>
      <c r="H55" s="358">
        <f>VLOOKUP($A55,[0]!Data,175,FALSE)</f>
        <v>89</v>
      </c>
      <c r="I55" s="358">
        <f>VLOOKUP($A55,[0]!Data,170,FALSE)+VLOOKUP($A55,[0]!Data,197,FALSE)</f>
        <v>22927</v>
      </c>
      <c r="J55" s="358">
        <f>VLOOKUP($A55,[0]!Data,171,FALSE)+VLOOKUP($A55,[0]!Data,198,FALSE)</f>
        <v>11456</v>
      </c>
      <c r="K55" s="358">
        <f>VLOOKUP($A55,[0]!Data,196,FALSE)</f>
        <v>89278</v>
      </c>
      <c r="L55" s="360">
        <f>VLOOKUP($A55,[0]!Data,199,FALSE)</f>
        <v>12</v>
      </c>
      <c r="M55"/>
      <c r="N55" s="535"/>
    </row>
    <row r="56" spans="1:14" x14ac:dyDescent="0.25">
      <c r="A56" s="40" t="s">
        <v>1683</v>
      </c>
      <c r="B56" s="40" t="s">
        <v>1972</v>
      </c>
      <c r="C56" s="358">
        <f>VLOOKUP($A56,[0]!Data,162,FALSE)</f>
        <v>45498</v>
      </c>
      <c r="D56" s="358">
        <f>VLOOKUP($A56,[0]!Data,163,FALSE)</f>
        <v>2718</v>
      </c>
      <c r="E56" s="358">
        <f>VLOOKUP($A56,[0]!Data,164,FALSE)</f>
        <v>30428</v>
      </c>
      <c r="F56" s="358">
        <f>VLOOKUP($A56,[0]!Data,165,FALSE)</f>
        <v>78644</v>
      </c>
      <c r="G56" s="358">
        <f>VLOOKUP($A56,[0]!Data,167,FALSE)</f>
        <v>106</v>
      </c>
      <c r="H56" s="358">
        <f>VLOOKUP($A56,[0]!Data,175,FALSE)</f>
        <v>91</v>
      </c>
      <c r="I56" s="358">
        <f>VLOOKUP($A56,[0]!Data,170,FALSE)+VLOOKUP($A56,[0]!Data,197,FALSE)</f>
        <v>7612</v>
      </c>
      <c r="J56" s="358">
        <f>VLOOKUP($A56,[0]!Data,171,FALSE)+VLOOKUP($A56,[0]!Data,198,FALSE)</f>
        <v>4613</v>
      </c>
      <c r="K56" s="358">
        <f>VLOOKUP($A56,[0]!Data,196,FALSE)</f>
        <v>79131</v>
      </c>
      <c r="L56" s="360">
        <f>VLOOKUP($A56,[0]!Data,199,FALSE)</f>
        <v>0</v>
      </c>
      <c r="M56"/>
    </row>
    <row r="57" spans="1:14" x14ac:dyDescent="0.25">
      <c r="A57" s="40" t="s">
        <v>1714</v>
      </c>
      <c r="B57" s="40" t="s">
        <v>1973</v>
      </c>
      <c r="C57" s="358">
        <f>VLOOKUP($A57,[0]!Data,162,FALSE)</f>
        <v>26096</v>
      </c>
      <c r="D57" s="358">
        <f>VLOOKUP($A57,[0]!Data,163,FALSE)</f>
        <v>2718</v>
      </c>
      <c r="E57" s="358">
        <f>VLOOKUP($A57,[0]!Data,164,FALSE)</f>
        <v>12920</v>
      </c>
      <c r="F57" s="358">
        <f>VLOOKUP($A57,[0]!Data,165,FALSE)</f>
        <v>41734</v>
      </c>
      <c r="G57" s="358">
        <f>VLOOKUP($A57,[0]!Data,167,FALSE)</f>
        <v>33</v>
      </c>
      <c r="H57" s="358">
        <f>VLOOKUP($A57,[0]!Data,175,FALSE)</f>
        <v>94</v>
      </c>
      <c r="I57" s="358">
        <f>VLOOKUP($A57,[0]!Data,170,FALSE)+VLOOKUP($A57,[0]!Data,197,FALSE)</f>
        <v>8854</v>
      </c>
      <c r="J57" s="358">
        <f>VLOOKUP($A57,[0]!Data,171,FALSE)+VLOOKUP($A57,[0]!Data,198,FALSE)</f>
        <v>3411</v>
      </c>
      <c r="K57" s="358">
        <f>VLOOKUP($A57,[0]!Data,196,FALSE)</f>
        <v>79121</v>
      </c>
      <c r="L57" s="360">
        <f>VLOOKUP($A57,[0]!Data,199,FALSE)</f>
        <v>42</v>
      </c>
      <c r="M57"/>
    </row>
    <row r="58" spans="1:14" x14ac:dyDescent="0.25">
      <c r="A58" s="40" t="s">
        <v>1756</v>
      </c>
      <c r="B58" s="40" t="s">
        <v>1974</v>
      </c>
      <c r="C58" s="358">
        <f>VLOOKUP($A58,[0]!Data,162,FALSE)</f>
        <v>64314</v>
      </c>
      <c r="D58" s="358">
        <f>VLOOKUP($A58,[0]!Data,163,FALSE)</f>
        <v>2994</v>
      </c>
      <c r="E58" s="358">
        <f>VLOOKUP($A58,[0]!Data,164,FALSE)</f>
        <v>31594</v>
      </c>
      <c r="F58" s="358">
        <f>VLOOKUP($A58,[0]!Data,165,FALSE)</f>
        <v>98902</v>
      </c>
      <c r="G58" s="358">
        <f>VLOOKUP($A58,[0]!Data,167,FALSE)</f>
        <v>250</v>
      </c>
      <c r="H58" s="358">
        <f>VLOOKUP($A58,[0]!Data,175,FALSE)</f>
        <v>89</v>
      </c>
      <c r="I58" s="358">
        <f>VLOOKUP($A58,[0]!Data,170,FALSE)+VLOOKUP($A58,[0]!Data,197,FALSE)</f>
        <v>9604</v>
      </c>
      <c r="J58" s="358">
        <f>VLOOKUP($A58,[0]!Data,171,FALSE)+VLOOKUP($A58,[0]!Data,198,FALSE)</f>
        <v>6534</v>
      </c>
      <c r="K58" s="358">
        <f>VLOOKUP($A58,[0]!Data,196,FALSE)</f>
        <v>79121</v>
      </c>
      <c r="L58" s="360">
        <f>VLOOKUP($A58,[0]!Data,199,FALSE)</f>
        <v>0</v>
      </c>
      <c r="M58"/>
    </row>
    <row r="59" spans="1:14" x14ac:dyDescent="0.25">
      <c r="A59" s="40" t="s">
        <v>1768</v>
      </c>
      <c r="B59" s="40" t="s">
        <v>1975</v>
      </c>
      <c r="C59" s="358">
        <f>VLOOKUP($A59,[0]!Data,162,FALSE)</f>
        <v>78228</v>
      </c>
      <c r="D59" s="358">
        <f>VLOOKUP($A59,[0]!Data,163,FALSE)</f>
        <v>7086</v>
      </c>
      <c r="E59" s="358">
        <f>VLOOKUP($A59,[0]!Data,164,FALSE)</f>
        <v>37582</v>
      </c>
      <c r="F59" s="358">
        <f>VLOOKUP($A59,[0]!Data,165,FALSE)</f>
        <v>122896</v>
      </c>
      <c r="G59" s="358">
        <f>VLOOKUP($A59,[0]!Data,167,FALSE)</f>
        <v>126</v>
      </c>
      <c r="H59" s="358">
        <f>VLOOKUP($A59,[0]!Data,175,FALSE)</f>
        <v>99</v>
      </c>
      <c r="I59" s="358">
        <f>VLOOKUP($A59,[0]!Data,170,FALSE)+VLOOKUP($A59,[0]!Data,197,FALSE)</f>
        <v>25154</v>
      </c>
      <c r="J59" s="358">
        <f>VLOOKUP($A59,[0]!Data,171,FALSE)+VLOOKUP($A59,[0]!Data,198,FALSE)</f>
        <v>8801</v>
      </c>
      <c r="K59" s="358">
        <f>VLOOKUP($A59,[0]!Data,196,FALSE)</f>
        <v>91113</v>
      </c>
      <c r="L59" s="360">
        <f>VLOOKUP($A59,[0]!Data,199,FALSE)</f>
        <v>66</v>
      </c>
      <c r="M59"/>
    </row>
    <row r="60" spans="1:14" x14ac:dyDescent="0.25">
      <c r="A60" s="40" t="s">
        <v>1784</v>
      </c>
      <c r="B60" s="40" t="s">
        <v>1976</v>
      </c>
      <c r="C60" s="358">
        <f>VLOOKUP($A60,[0]!Data,162,FALSE)</f>
        <v>89968</v>
      </c>
      <c r="D60" s="358">
        <f>VLOOKUP($A60,[0]!Data,163,FALSE)</f>
        <v>10528</v>
      </c>
      <c r="E60" s="358">
        <f>VLOOKUP($A60,[0]!Data,164,FALSE)</f>
        <v>63192</v>
      </c>
      <c r="F60" s="358">
        <f>VLOOKUP($A60,[0]!Data,165,FALSE)</f>
        <v>163688</v>
      </c>
      <c r="G60" s="358">
        <f>VLOOKUP($A60,[0]!Data,167,FALSE)</f>
        <v>217</v>
      </c>
      <c r="H60" s="358">
        <f>VLOOKUP($A60,[0]!Data,175,FALSE)</f>
        <v>107</v>
      </c>
      <c r="I60" s="358">
        <f>VLOOKUP($A60,[0]!Data,170,FALSE)+VLOOKUP($A60,[0]!Data,197,FALSE)</f>
        <v>14447</v>
      </c>
      <c r="J60" s="358">
        <f>VLOOKUP($A60,[0]!Data,171,FALSE)+VLOOKUP($A60,[0]!Data,198,FALSE)</f>
        <v>11629</v>
      </c>
      <c r="K60" s="358">
        <f>VLOOKUP($A60,[0]!Data,196,FALSE)</f>
        <v>59119</v>
      </c>
      <c r="L60" s="360">
        <f>VLOOKUP($A60,[0]!Data,199,FALSE)</f>
        <v>34</v>
      </c>
      <c r="M60"/>
    </row>
    <row r="61" spans="1:14" x14ac:dyDescent="0.25">
      <c r="A61" s="40" t="s">
        <v>1531</v>
      </c>
      <c r="B61" s="40" t="s">
        <v>1977</v>
      </c>
      <c r="C61" s="358">
        <f>VLOOKUP($A61,[0]!Data,162,FALSE)</f>
        <v>54742</v>
      </c>
      <c r="D61" s="358">
        <f>VLOOKUP($A61,[0]!Data,163,FALSE)</f>
        <v>3459</v>
      </c>
      <c r="E61" s="358">
        <f>VLOOKUP($A61,[0]!Data,164,FALSE)</f>
        <v>26909</v>
      </c>
      <c r="F61" s="358">
        <f>VLOOKUP($A61,[0]!Data,165,FALSE)</f>
        <v>85110</v>
      </c>
      <c r="G61" s="358">
        <f>VLOOKUP($A61,[0]!Data,167,FALSE)</f>
        <v>31</v>
      </c>
      <c r="H61" s="358">
        <f>VLOOKUP($A61,[0]!Data,175,FALSE)</f>
        <v>95</v>
      </c>
      <c r="I61" s="358">
        <f>VLOOKUP($A61,[0]!Data,170,FALSE)+VLOOKUP($A61,[0]!Data,197,FALSE)</f>
        <v>9113</v>
      </c>
      <c r="J61" s="358">
        <f>VLOOKUP($A61,[0]!Data,171,FALSE)+VLOOKUP($A61,[0]!Data,198,FALSE)</f>
        <v>1950</v>
      </c>
      <c r="K61" s="358">
        <f>VLOOKUP($A61,[0]!Data,196,FALSE)</f>
        <v>79196</v>
      </c>
      <c r="L61" s="360">
        <f>VLOOKUP($A61,[0]!Data,199,FALSE)</f>
        <v>15</v>
      </c>
      <c r="M61"/>
    </row>
    <row r="62" spans="1:14" x14ac:dyDescent="0.25">
      <c r="A62" s="40" t="s">
        <v>1799</v>
      </c>
      <c r="B62" s="40" t="s">
        <v>1978</v>
      </c>
      <c r="C62" s="358">
        <f>VLOOKUP($A62,[0]!Data,162,FALSE)</f>
        <v>670040</v>
      </c>
      <c r="D62" s="358">
        <f>VLOOKUP($A62,[0]!Data,163,FALSE)</f>
        <v>69590</v>
      </c>
      <c r="E62" s="358">
        <f>VLOOKUP($A62,[0]!Data,164,FALSE)</f>
        <v>627396</v>
      </c>
      <c r="F62" s="358">
        <f>VLOOKUP($A62,[0]!Data,165,FALSE)</f>
        <v>1367026</v>
      </c>
      <c r="G62" s="358">
        <f>VLOOKUP($A62,[0]!Data,167,FALSE)</f>
        <v>1207</v>
      </c>
      <c r="H62" s="358">
        <f>VLOOKUP($A62,[0]!Data,175,FALSE)</f>
        <v>95</v>
      </c>
      <c r="I62" s="358">
        <f>VLOOKUP($A62,[0]!Data,170,FALSE)+VLOOKUP($A62,[0]!Data,197,FALSE)</f>
        <v>47725</v>
      </c>
      <c r="J62" s="358">
        <f>VLOOKUP($A62,[0]!Data,171,FALSE)+VLOOKUP($A62,[0]!Data,198,FALSE)</f>
        <v>322</v>
      </c>
      <c r="K62" s="358">
        <f>VLOOKUP($A62,[0]!Data,196,FALSE)</f>
        <v>85427</v>
      </c>
      <c r="L62" s="360">
        <f>VLOOKUP($A62,[0]!Data,199,FALSE)</f>
        <v>0</v>
      </c>
      <c r="M62"/>
    </row>
    <row r="63" spans="1:14" x14ac:dyDescent="0.25">
      <c r="A63" s="40" t="s">
        <v>1814</v>
      </c>
      <c r="B63" s="40" t="s">
        <v>1979</v>
      </c>
      <c r="C63" s="358">
        <f>VLOOKUP($A63,[0]!Data,162,FALSE)</f>
        <v>23185</v>
      </c>
      <c r="D63" s="358">
        <f>VLOOKUP($A63,[0]!Data,163,FALSE)</f>
        <v>0</v>
      </c>
      <c r="E63" s="358">
        <f>VLOOKUP($A63,[0]!Data,164,FALSE)</f>
        <v>8260</v>
      </c>
      <c r="F63" s="358">
        <f>VLOOKUP($A63,[0]!Data,165,FALSE)</f>
        <v>31445</v>
      </c>
      <c r="G63" s="358">
        <f>VLOOKUP($A63,[0]!Data,167,FALSE)</f>
        <v>132</v>
      </c>
      <c r="H63" s="358">
        <f>VLOOKUP($A63,[0]!Data,175,FALSE)</f>
        <v>88</v>
      </c>
      <c r="I63" s="358">
        <f>VLOOKUP($A63,[0]!Data,170,FALSE)+VLOOKUP($A63,[0]!Data,197,FALSE)</f>
        <v>6484</v>
      </c>
      <c r="J63" s="358">
        <f>VLOOKUP($A63,[0]!Data,171,FALSE)+VLOOKUP($A63,[0]!Data,198,FALSE)</f>
        <v>3436</v>
      </c>
      <c r="K63" s="358">
        <f>VLOOKUP($A63,[0]!Data,196,FALSE)</f>
        <v>52685</v>
      </c>
      <c r="L63" s="360">
        <f>VLOOKUP($A63,[0]!Data,199,FALSE)</f>
        <v>0</v>
      </c>
      <c r="M63"/>
    </row>
    <row r="64" spans="1:14" x14ac:dyDescent="0.25">
      <c r="A64" s="40" t="s">
        <v>1826</v>
      </c>
      <c r="B64" s="40" t="s">
        <v>1980</v>
      </c>
      <c r="C64" s="358">
        <f>VLOOKUP($A64,[0]!Data,162,FALSE)</f>
        <v>74621</v>
      </c>
      <c r="D64" s="358">
        <f>VLOOKUP($A64,[0]!Data,163,FALSE)</f>
        <v>6963</v>
      </c>
      <c r="E64" s="358">
        <f>VLOOKUP($A64,[0]!Data,164,FALSE)</f>
        <v>51039</v>
      </c>
      <c r="F64" s="358">
        <f>VLOOKUP($A64,[0]!Data,165,FALSE)</f>
        <v>132623</v>
      </c>
      <c r="G64" s="358">
        <f>VLOOKUP($A64,[0]!Data,167,FALSE)</f>
        <v>213</v>
      </c>
      <c r="H64" s="358">
        <f>VLOOKUP($A64,[0]!Data,175,FALSE)</f>
        <v>95</v>
      </c>
      <c r="I64" s="358">
        <f>VLOOKUP($A64,[0]!Data,170,FALSE)+VLOOKUP($A64,[0]!Data,197,FALSE)</f>
        <v>11887</v>
      </c>
      <c r="J64" s="358">
        <f>VLOOKUP($A64,[0]!Data,171,FALSE)+VLOOKUP($A64,[0]!Data,198,FALSE)</f>
        <v>6085</v>
      </c>
      <c r="K64" s="358">
        <f>VLOOKUP($A64,[0]!Data,196,FALSE)</f>
        <v>79530</v>
      </c>
      <c r="L64" s="360">
        <f>VLOOKUP($A64,[0]!Data,199,FALSE)</f>
        <v>35</v>
      </c>
      <c r="M64"/>
    </row>
    <row r="65" spans="1:13" x14ac:dyDescent="0.25">
      <c r="A65" s="40" t="s">
        <v>1842</v>
      </c>
      <c r="B65" s="40" t="s">
        <v>1981</v>
      </c>
      <c r="C65" s="358">
        <f>VLOOKUP($A65,[0]!Data,162,FALSE)</f>
        <v>114145</v>
      </c>
      <c r="D65" s="358">
        <f>VLOOKUP($A65,[0]!Data,163,FALSE)</f>
        <v>10145</v>
      </c>
      <c r="E65" s="358">
        <f>VLOOKUP($A65,[0]!Data,164,FALSE)</f>
        <v>70524</v>
      </c>
      <c r="F65" s="358">
        <f>VLOOKUP($A65,[0]!Data,165,FALSE)</f>
        <v>194814</v>
      </c>
      <c r="G65" s="358">
        <f>VLOOKUP($A65,[0]!Data,167,FALSE)</f>
        <v>154</v>
      </c>
      <c r="H65" s="358">
        <f>VLOOKUP($A65,[0]!Data,175,FALSE)</f>
        <v>90</v>
      </c>
      <c r="I65" s="358">
        <f>VLOOKUP($A65,[0]!Data,170,FALSE)+VLOOKUP($A65,[0]!Data,197,FALSE)</f>
        <v>8137</v>
      </c>
      <c r="J65" s="358">
        <f>VLOOKUP($A65,[0]!Data,171,FALSE)+VLOOKUP($A65,[0]!Data,198,FALSE)</f>
        <v>5994</v>
      </c>
      <c r="K65" s="358">
        <f>VLOOKUP($A65,[0]!Data,196,FALSE)</f>
        <v>53656</v>
      </c>
      <c r="L65" s="369">
        <f>VLOOKUP($A65,[0]!Data,199,FALSE)</f>
        <v>0</v>
      </c>
      <c r="M65"/>
    </row>
    <row r="66" spans="1:13" ht="15.75" thickBot="1" x14ac:dyDescent="0.3">
      <c r="A66" s="658" t="s">
        <v>1882</v>
      </c>
      <c r="B66" s="660"/>
      <c r="C66" s="616">
        <f t="shared" ref="C66:L66" si="0">AVERAGE(C8:C65)</f>
        <v>120549.41379310345</v>
      </c>
      <c r="D66" s="616">
        <f t="shared" si="0"/>
        <v>10479.224137931034</v>
      </c>
      <c r="E66" s="616">
        <f t="shared" si="0"/>
        <v>76442.431034482754</v>
      </c>
      <c r="F66" s="616">
        <f t="shared" si="0"/>
        <v>208049.39655172414</v>
      </c>
      <c r="G66" s="616">
        <f t="shared" si="0"/>
        <v>278.06896551724139</v>
      </c>
      <c r="H66" s="616">
        <f t="shared" si="0"/>
        <v>95.08620689655173</v>
      </c>
      <c r="I66" s="616">
        <f t="shared" si="0"/>
        <v>20871.913793103449</v>
      </c>
      <c r="J66" s="616">
        <f t="shared" si="0"/>
        <v>11711.137931034482</v>
      </c>
      <c r="K66" s="616">
        <f t="shared" si="0"/>
        <v>77418.862068965522</v>
      </c>
      <c r="L66" s="616">
        <f t="shared" si="0"/>
        <v>36.948275862068968</v>
      </c>
      <c r="M66"/>
    </row>
    <row r="67" spans="1:13" ht="16.5" thickTop="1" thickBot="1" x14ac:dyDescent="0.3">
      <c r="A67" s="651" t="s">
        <v>1866</v>
      </c>
      <c r="B67" s="651"/>
      <c r="C67" s="166"/>
      <c r="D67" s="166"/>
      <c r="E67" s="166"/>
      <c r="F67" s="166"/>
      <c r="G67" s="166"/>
      <c r="H67" s="166"/>
      <c r="I67" s="166"/>
      <c r="J67" s="166"/>
      <c r="K67" s="166"/>
      <c r="L67" s="362"/>
      <c r="M67"/>
    </row>
    <row r="68" spans="1:13" ht="15.75" thickTop="1" x14ac:dyDescent="0.25">
      <c r="A68" s="40" t="s">
        <v>692</v>
      </c>
      <c r="B68" s="40" t="s">
        <v>1982</v>
      </c>
      <c r="C68" s="358">
        <f>VLOOKUP($A68,[0]!Data,162,FALSE)</f>
        <v>99345</v>
      </c>
      <c r="D68" s="358">
        <f>VLOOKUP($A68,[0]!Data,163,FALSE)</f>
        <v>6373</v>
      </c>
      <c r="E68" s="358">
        <f>VLOOKUP($A68,[0]!Data,164,FALSE)</f>
        <v>60772</v>
      </c>
      <c r="F68" s="358">
        <f>VLOOKUP($A68,[0]!Data,165,FALSE)</f>
        <v>166490</v>
      </c>
      <c r="G68" s="358">
        <f>VLOOKUP($A68,[0]!Data,167,FALSE)</f>
        <v>119</v>
      </c>
      <c r="H68" s="358">
        <f>VLOOKUP($A68,[0]!Data,175,FALSE)</f>
        <v>92</v>
      </c>
      <c r="I68" s="358">
        <f>VLOOKUP($A68,[0]!Data,170,FALSE)+VLOOKUP($A68,[0]!Data,197,FALSE)</f>
        <v>12545</v>
      </c>
      <c r="J68" s="358">
        <f>VLOOKUP($A68,[0]!Data,171,FALSE)+VLOOKUP($A68,[0]!Data,198,FALSE)</f>
        <v>12876</v>
      </c>
      <c r="K68" s="358">
        <f>VLOOKUP($A68,[0]!Data,196,FALSE)</f>
        <v>52685</v>
      </c>
      <c r="L68" s="368">
        <f>VLOOKUP($A68,[0]!Data,199,FALSE)</f>
        <v>0</v>
      </c>
      <c r="M68"/>
    </row>
    <row r="69" spans="1:13" x14ac:dyDescent="0.25">
      <c r="A69" s="40" t="s">
        <v>739</v>
      </c>
      <c r="B69" s="40" t="s">
        <v>1983</v>
      </c>
      <c r="C69" s="358">
        <f>VLOOKUP($A69,[0]!Data,162,FALSE)</f>
        <v>125492</v>
      </c>
      <c r="D69" s="358">
        <f>VLOOKUP($A69,[0]!Data,163,FALSE)</f>
        <v>2239</v>
      </c>
      <c r="E69" s="358">
        <f>VLOOKUP($A69,[0]!Data,164,FALSE)</f>
        <v>33123</v>
      </c>
      <c r="F69" s="358">
        <f>VLOOKUP($A69,[0]!Data,165,FALSE)</f>
        <v>160854</v>
      </c>
      <c r="G69" s="358">
        <f>VLOOKUP($A69,[0]!Data,167,FALSE)</f>
        <v>108</v>
      </c>
      <c r="H69" s="358">
        <f>VLOOKUP($A69,[0]!Data,175,FALSE)</f>
        <v>88</v>
      </c>
      <c r="I69" s="358">
        <f>VLOOKUP($A69,[0]!Data,170,FALSE)+VLOOKUP($A69,[0]!Data,197,FALSE)</f>
        <v>9912</v>
      </c>
      <c r="J69" s="358">
        <f>VLOOKUP($A69,[0]!Data,171,FALSE)+VLOOKUP($A69,[0]!Data,198,FALSE)</f>
        <v>4175</v>
      </c>
      <c r="K69" s="358">
        <f>VLOOKUP($A69,[0]!Data,196,FALSE)</f>
        <v>63319</v>
      </c>
      <c r="L69" s="360">
        <f>VLOOKUP($A69,[0]!Data,199,FALSE)</f>
        <v>0</v>
      </c>
      <c r="M69"/>
    </row>
    <row r="70" spans="1:13" x14ac:dyDescent="0.25">
      <c r="A70" s="40" t="s">
        <v>723</v>
      </c>
      <c r="B70" s="40" t="s">
        <v>1984</v>
      </c>
      <c r="C70" s="358">
        <f>VLOOKUP($A70,[0]!Data,162,FALSE)</f>
        <v>130537</v>
      </c>
      <c r="D70" s="358">
        <f>VLOOKUP($A70,[0]!Data,163,FALSE)</f>
        <v>10422</v>
      </c>
      <c r="E70" s="358">
        <f>VLOOKUP($A70,[0]!Data,164,FALSE)</f>
        <v>63670</v>
      </c>
      <c r="F70" s="358">
        <f>VLOOKUP($A70,[0]!Data,165,FALSE)</f>
        <v>204629</v>
      </c>
      <c r="G70" s="358">
        <f>VLOOKUP($A70,[0]!Data,167,FALSE)</f>
        <v>188</v>
      </c>
      <c r="H70" s="358">
        <f>VLOOKUP($A70,[0]!Data,175,FALSE)</f>
        <v>89</v>
      </c>
      <c r="I70" s="358">
        <f>VLOOKUP($A70,[0]!Data,170,FALSE)+VLOOKUP($A70,[0]!Data,197,FALSE)</f>
        <v>14882</v>
      </c>
      <c r="J70" s="358">
        <f>VLOOKUP($A70,[0]!Data,171,FALSE)+VLOOKUP($A70,[0]!Data,198,FALSE)</f>
        <v>11065</v>
      </c>
      <c r="K70" s="358">
        <f>VLOOKUP($A70,[0]!Data,196,FALSE)</f>
        <v>54499</v>
      </c>
      <c r="L70" s="360">
        <f>VLOOKUP($A70,[0]!Data,199,FALSE)</f>
        <v>0</v>
      </c>
      <c r="M70"/>
    </row>
    <row r="71" spans="1:13" x14ac:dyDescent="0.25">
      <c r="A71" s="40" t="s">
        <v>760</v>
      </c>
      <c r="B71" s="40" t="s">
        <v>1985</v>
      </c>
      <c r="C71" s="358">
        <f>VLOOKUP($A71,[0]!Data,162,FALSE)</f>
        <v>64157</v>
      </c>
      <c r="D71" s="358">
        <f>VLOOKUP($A71,[0]!Data,163,FALSE)</f>
        <v>1879</v>
      </c>
      <c r="E71" s="358">
        <f>VLOOKUP($A71,[0]!Data,164,FALSE)</f>
        <v>35881</v>
      </c>
      <c r="F71" s="358">
        <f>VLOOKUP($A71,[0]!Data,165,FALSE)</f>
        <v>101917</v>
      </c>
      <c r="G71" s="358">
        <f>VLOOKUP($A71,[0]!Data,167,FALSE)</f>
        <v>56</v>
      </c>
      <c r="H71" s="358">
        <f>VLOOKUP($A71,[0]!Data,175,FALSE)</f>
        <v>88</v>
      </c>
      <c r="I71" s="358">
        <f>VLOOKUP($A71,[0]!Data,170,FALSE)+VLOOKUP($A71,[0]!Data,197,FALSE)</f>
        <v>7277</v>
      </c>
      <c r="J71" s="358">
        <f>VLOOKUP($A71,[0]!Data,171,FALSE)+VLOOKUP($A71,[0]!Data,198,FALSE)</f>
        <v>6473</v>
      </c>
      <c r="K71" s="358">
        <f>VLOOKUP($A71,[0]!Data,196,FALSE)</f>
        <v>60261</v>
      </c>
      <c r="L71" s="360">
        <f>VLOOKUP($A71,[0]!Data,199,FALSE)</f>
        <v>50</v>
      </c>
      <c r="M71"/>
    </row>
    <row r="72" spans="1:13" x14ac:dyDescent="0.25">
      <c r="A72" s="40" t="s">
        <v>975</v>
      </c>
      <c r="B72" s="40" t="s">
        <v>1986</v>
      </c>
      <c r="C72" s="358">
        <f>VLOOKUP($A72,[0]!Data,162,FALSE)</f>
        <v>202382</v>
      </c>
      <c r="D72" s="358">
        <f>VLOOKUP($A72,[0]!Data,163,FALSE)</f>
        <v>13503</v>
      </c>
      <c r="E72" s="358">
        <f>VLOOKUP($A72,[0]!Data,164,FALSE)</f>
        <v>98898</v>
      </c>
      <c r="F72" s="358">
        <f>VLOOKUP($A72,[0]!Data,165,FALSE)</f>
        <v>314783</v>
      </c>
      <c r="G72" s="358">
        <f>VLOOKUP($A72,[0]!Data,167,FALSE)</f>
        <v>403</v>
      </c>
      <c r="H72" s="358">
        <f>VLOOKUP($A72,[0]!Data,175,FALSE)</f>
        <v>100</v>
      </c>
      <c r="I72" s="358">
        <f>VLOOKUP($A72,[0]!Data,170,FALSE)+VLOOKUP($A72,[0]!Data,197,FALSE)</f>
        <v>26424</v>
      </c>
      <c r="J72" s="358">
        <f>VLOOKUP($A72,[0]!Data,171,FALSE)+VLOOKUP($A72,[0]!Data,198,FALSE)</f>
        <v>14859</v>
      </c>
      <c r="K72" s="358">
        <f>VLOOKUP($A72,[0]!Data,196,FALSE)</f>
        <v>53316</v>
      </c>
      <c r="L72" s="360">
        <f>VLOOKUP($A72,[0]!Data,199,FALSE)</f>
        <v>0</v>
      </c>
      <c r="M72"/>
    </row>
    <row r="73" spans="1:13" x14ac:dyDescent="0.25">
      <c r="A73" s="40" t="s">
        <v>1071</v>
      </c>
      <c r="B73" s="40" t="s">
        <v>1987</v>
      </c>
      <c r="C73" s="358">
        <f>VLOOKUP($A73,[0]!Data,162,FALSE)</f>
        <v>145855</v>
      </c>
      <c r="D73" s="358">
        <f>VLOOKUP($A73,[0]!Data,163,FALSE)</f>
        <v>9276</v>
      </c>
      <c r="E73" s="358">
        <f>VLOOKUP($A73,[0]!Data,164,FALSE)</f>
        <v>72980</v>
      </c>
      <c r="F73" s="358">
        <f>VLOOKUP($A73,[0]!Data,165,FALSE)</f>
        <v>228111</v>
      </c>
      <c r="G73" s="358">
        <f>VLOOKUP($A73,[0]!Data,167,FALSE)</f>
        <v>136</v>
      </c>
      <c r="H73" s="358">
        <f>VLOOKUP($A73,[0]!Data,175,FALSE)</f>
        <v>97</v>
      </c>
      <c r="I73" s="358">
        <f>VLOOKUP($A73,[0]!Data,170,FALSE)+VLOOKUP($A73,[0]!Data,197,FALSE)</f>
        <v>13534</v>
      </c>
      <c r="J73" s="358">
        <f>VLOOKUP($A73,[0]!Data,171,FALSE)+VLOOKUP($A73,[0]!Data,198,FALSE)</f>
        <v>17635</v>
      </c>
      <c r="K73" s="358">
        <f>VLOOKUP($A73,[0]!Data,196,FALSE)</f>
        <v>54860</v>
      </c>
      <c r="L73" s="360">
        <f>VLOOKUP($A73,[0]!Data,199,FALSE)</f>
        <v>36</v>
      </c>
      <c r="M73"/>
    </row>
    <row r="74" spans="1:13" x14ac:dyDescent="0.25">
      <c r="A74" s="40" t="s">
        <v>1111</v>
      </c>
      <c r="B74" s="40" t="s">
        <v>1988</v>
      </c>
      <c r="C74" s="358">
        <f>VLOOKUP($A74,[0]!Data,162,FALSE)</f>
        <v>141743</v>
      </c>
      <c r="D74" s="358">
        <f>VLOOKUP($A74,[0]!Data,163,FALSE)</f>
        <v>6965</v>
      </c>
      <c r="E74" s="358">
        <f>VLOOKUP($A74,[0]!Data,164,FALSE)</f>
        <v>73039</v>
      </c>
      <c r="F74" s="358">
        <f>VLOOKUP($A74,[0]!Data,165,FALSE)</f>
        <v>221747</v>
      </c>
      <c r="G74" s="358">
        <f>VLOOKUP($A74,[0]!Data,167,FALSE)</f>
        <v>406</v>
      </c>
      <c r="H74" s="358">
        <f>VLOOKUP($A74,[0]!Data,175,FALSE)</f>
        <v>90</v>
      </c>
      <c r="I74" s="358">
        <f>VLOOKUP($A74,[0]!Data,170,FALSE)+VLOOKUP($A74,[0]!Data,197,FALSE)</f>
        <v>20850</v>
      </c>
      <c r="J74" s="358">
        <f>VLOOKUP($A74,[0]!Data,171,FALSE)+VLOOKUP($A74,[0]!Data,198,FALSE)</f>
        <v>15161</v>
      </c>
      <c r="K74" s="358">
        <f>VLOOKUP($A74,[0]!Data,196,FALSE)</f>
        <v>79633</v>
      </c>
      <c r="L74" s="360">
        <f>VLOOKUP($A74,[0]!Data,199,FALSE)</f>
        <v>51</v>
      </c>
      <c r="M74"/>
    </row>
    <row r="75" spans="1:13" x14ac:dyDescent="0.25">
      <c r="A75" s="40" t="s">
        <v>1425</v>
      </c>
      <c r="B75" s="40" t="s">
        <v>1989</v>
      </c>
      <c r="C75" s="358">
        <f>VLOOKUP($A75,[0]!Data,162,FALSE)</f>
        <v>100338</v>
      </c>
      <c r="D75" s="358">
        <f>VLOOKUP($A75,[0]!Data,163,FALSE)</f>
        <v>5612</v>
      </c>
      <c r="E75" s="358">
        <f>VLOOKUP($A75,[0]!Data,164,FALSE)</f>
        <v>39087</v>
      </c>
      <c r="F75" s="358">
        <f>VLOOKUP($A75,[0]!Data,165,FALSE)</f>
        <v>145037</v>
      </c>
      <c r="G75" s="358">
        <f>VLOOKUP($A75,[0]!Data,167,FALSE)</f>
        <v>197</v>
      </c>
      <c r="H75" s="358">
        <f>VLOOKUP($A75,[0]!Data,175,FALSE)</f>
        <v>91</v>
      </c>
      <c r="I75" s="358">
        <f>VLOOKUP($A75,[0]!Data,170,FALSE)+VLOOKUP($A75,[0]!Data,197,FALSE)</f>
        <v>10988</v>
      </c>
      <c r="J75" s="358">
        <f>VLOOKUP($A75,[0]!Data,171,FALSE)+VLOOKUP($A75,[0]!Data,198,FALSE)</f>
        <v>11334</v>
      </c>
      <c r="K75" s="358">
        <f>VLOOKUP($A75,[0]!Data,196,FALSE)</f>
        <v>52708</v>
      </c>
      <c r="L75" s="360">
        <f>VLOOKUP($A75,[0]!Data,199,FALSE)</f>
        <v>0</v>
      </c>
      <c r="M75"/>
    </row>
    <row r="76" spans="1:13" x14ac:dyDescent="0.25">
      <c r="A76" s="40" t="s">
        <v>1442</v>
      </c>
      <c r="B76" s="40" t="s">
        <v>1990</v>
      </c>
      <c r="C76" s="358">
        <f>VLOOKUP($A76,[0]!Data,162,FALSE)</f>
        <v>93882</v>
      </c>
      <c r="D76" s="358">
        <f>VLOOKUP($A76,[0]!Data,163,FALSE)</f>
        <v>9867</v>
      </c>
      <c r="E76" s="358">
        <f>VLOOKUP($A76,[0]!Data,164,FALSE)</f>
        <v>46968</v>
      </c>
      <c r="F76" s="358">
        <f>VLOOKUP($A76,[0]!Data,165,FALSE)</f>
        <v>150717</v>
      </c>
      <c r="G76" s="358">
        <f>VLOOKUP($A76,[0]!Data,167,FALSE)</f>
        <v>336</v>
      </c>
      <c r="H76" s="358">
        <f>VLOOKUP($A76,[0]!Data,175,FALSE)</f>
        <v>92</v>
      </c>
      <c r="I76" s="358">
        <f>VLOOKUP($A76,[0]!Data,170,FALSE)+VLOOKUP($A76,[0]!Data,197,FALSE)</f>
        <v>15607</v>
      </c>
      <c r="J76" s="358">
        <f>VLOOKUP($A76,[0]!Data,171,FALSE)+VLOOKUP($A76,[0]!Data,198,FALSE)</f>
        <v>10572</v>
      </c>
      <c r="K76" s="358">
        <f>VLOOKUP($A76,[0]!Data,196,FALSE)</f>
        <v>53752</v>
      </c>
      <c r="L76" s="360">
        <f>VLOOKUP($A76,[0]!Data,199,FALSE)</f>
        <v>50</v>
      </c>
      <c r="M76"/>
    </row>
    <row r="77" spans="1:13" x14ac:dyDescent="0.25">
      <c r="A77" s="40" t="s">
        <v>1472</v>
      </c>
      <c r="B77" s="40" t="s">
        <v>1991</v>
      </c>
      <c r="C77" s="358">
        <f>VLOOKUP($A77,[0]!Data,162,FALSE)</f>
        <v>201094</v>
      </c>
      <c r="D77" s="358">
        <f>VLOOKUP($A77,[0]!Data,163,FALSE)</f>
        <v>13601</v>
      </c>
      <c r="E77" s="358">
        <f>VLOOKUP($A77,[0]!Data,164,FALSE)</f>
        <v>132183</v>
      </c>
      <c r="F77" s="358">
        <f>VLOOKUP($A77,[0]!Data,165,FALSE)</f>
        <v>346878</v>
      </c>
      <c r="G77" s="358">
        <f>VLOOKUP($A77,[0]!Data,167,FALSE)</f>
        <v>166</v>
      </c>
      <c r="H77" s="358">
        <f>VLOOKUP($A77,[0]!Data,175,FALSE)</f>
        <v>90</v>
      </c>
      <c r="I77" s="358">
        <f>VLOOKUP($A77,[0]!Data,170,FALSE)+VLOOKUP($A77,[0]!Data,197,FALSE)</f>
        <v>12150</v>
      </c>
      <c r="J77" s="358">
        <f>VLOOKUP($A77,[0]!Data,171,FALSE)+VLOOKUP($A77,[0]!Data,198,FALSE)</f>
        <v>13213</v>
      </c>
      <c r="K77" s="358">
        <f>VLOOKUP($A77,[0]!Data,196,FALSE)</f>
        <v>60161</v>
      </c>
      <c r="L77" s="360">
        <f>VLOOKUP($A77,[0]!Data,199,FALSE)</f>
        <v>0</v>
      </c>
      <c r="M77"/>
    </row>
    <row r="78" spans="1:13" x14ac:dyDescent="0.25">
      <c r="A78" s="40" t="s">
        <v>1558</v>
      </c>
      <c r="B78" s="40" t="s">
        <v>1992</v>
      </c>
      <c r="C78" s="358">
        <f>VLOOKUP($A78,[0]!Data,162,FALSE)</f>
        <v>80837</v>
      </c>
      <c r="D78" s="358">
        <f>VLOOKUP($A78,[0]!Data,163,FALSE)</f>
        <v>4362</v>
      </c>
      <c r="E78" s="358">
        <f>VLOOKUP($A78,[0]!Data,164,FALSE)</f>
        <v>36653</v>
      </c>
      <c r="F78" s="358">
        <f>VLOOKUP($A78,[0]!Data,165,FALSE)</f>
        <v>121852</v>
      </c>
      <c r="G78" s="358">
        <f>VLOOKUP($A78,[0]!Data,167,FALSE)</f>
        <v>162</v>
      </c>
      <c r="H78" s="358">
        <f>VLOOKUP($A78,[0]!Data,175,FALSE)</f>
        <v>90</v>
      </c>
      <c r="I78" s="358">
        <f>VLOOKUP($A78,[0]!Data,170,FALSE)+VLOOKUP($A78,[0]!Data,197,FALSE)</f>
        <v>12898</v>
      </c>
      <c r="J78" s="358">
        <f>VLOOKUP($A78,[0]!Data,171,FALSE)+VLOOKUP($A78,[0]!Data,198,FALSE)</f>
        <v>5615</v>
      </c>
      <c r="K78" s="358">
        <f>VLOOKUP($A78,[0]!Data,196,FALSE)</f>
        <v>79121</v>
      </c>
      <c r="L78" s="360">
        <f>VLOOKUP($A78,[0]!Data,199,FALSE)</f>
        <v>42</v>
      </c>
      <c r="M78"/>
    </row>
    <row r="79" spans="1:13" x14ac:dyDescent="0.25">
      <c r="A79" s="40" t="s">
        <v>1696</v>
      </c>
      <c r="B79" s="40" t="s">
        <v>1993</v>
      </c>
      <c r="C79" s="358">
        <f>VLOOKUP($A79,[0]!Data,162,FALSE)</f>
        <v>190004</v>
      </c>
      <c r="D79" s="359">
        <f>[2]Regional!BY14</f>
        <v>16198</v>
      </c>
      <c r="E79" s="359">
        <f>[2]Regional!BV14</f>
        <v>103568</v>
      </c>
      <c r="F79" s="359">
        <f>[2]Regional!BZ14</f>
        <v>308418</v>
      </c>
      <c r="G79" s="359">
        <f>[2]Regional!CN14</f>
        <v>350</v>
      </c>
      <c r="H79" s="358">
        <f>VLOOKUP($A79,[0]!Data,175,FALSE)</f>
        <v>93</v>
      </c>
      <c r="I79" s="358">
        <f>[2]Regional!CH14+[2]Regional!CI14</f>
        <v>11372</v>
      </c>
      <c r="J79" s="358">
        <f>[2]Regional!CJ14+[2]Regional!CK14</f>
        <v>16728</v>
      </c>
      <c r="K79" s="358">
        <f>[2]Regional!CD14</f>
        <v>28253</v>
      </c>
      <c r="L79" s="360">
        <f>VLOOKUP($A79,[0]!Data,199,FALSE)</f>
        <v>57</v>
      </c>
      <c r="M79"/>
    </row>
    <row r="80" spans="1:13" ht="15.75" thickBot="1" x14ac:dyDescent="0.3">
      <c r="A80" s="658" t="s">
        <v>1882</v>
      </c>
      <c r="B80" s="660"/>
      <c r="C80" s="361">
        <f t="shared" ref="C80:L80" si="1">AVERAGE(C68:C79)</f>
        <v>131305.5</v>
      </c>
      <c r="D80" s="361">
        <f t="shared" si="1"/>
        <v>8358.0833333333339</v>
      </c>
      <c r="E80" s="361">
        <f t="shared" si="1"/>
        <v>66401.833333333328</v>
      </c>
      <c r="F80" s="361">
        <f t="shared" si="1"/>
        <v>205952.75</v>
      </c>
      <c r="G80" s="361">
        <f t="shared" si="1"/>
        <v>218.91666666666666</v>
      </c>
      <c r="H80" s="361"/>
      <c r="I80" s="361">
        <f t="shared" si="1"/>
        <v>14036.583333333334</v>
      </c>
      <c r="J80" s="361">
        <f t="shared" si="1"/>
        <v>11642.166666666666</v>
      </c>
      <c r="K80" s="361">
        <f t="shared" si="1"/>
        <v>57714</v>
      </c>
      <c r="L80" s="48">
        <f t="shared" si="1"/>
        <v>23.833333333333332</v>
      </c>
      <c r="M80"/>
    </row>
    <row r="81" spans="1:13" ht="16.5" thickTop="1" thickBot="1" x14ac:dyDescent="0.3">
      <c r="A81" s="58"/>
      <c r="B81" s="49" t="s">
        <v>1867</v>
      </c>
      <c r="C81" s="166"/>
      <c r="D81" s="166"/>
      <c r="E81" s="166"/>
      <c r="F81" s="166"/>
      <c r="G81" s="166"/>
      <c r="H81" s="166"/>
      <c r="I81" s="166"/>
      <c r="J81" s="166"/>
      <c r="K81" s="166"/>
      <c r="L81" s="362"/>
      <c r="M81"/>
    </row>
    <row r="82" spans="1:13" ht="15.75" thickTop="1" x14ac:dyDescent="0.25">
      <c r="A82" s="55" t="s">
        <v>897</v>
      </c>
      <c r="B82" s="40" t="s">
        <v>1994</v>
      </c>
      <c r="C82" s="358">
        <f>VLOOKUP($A82,[0]!Data,162,FALSE)</f>
        <v>91377</v>
      </c>
      <c r="D82" s="358">
        <f>VLOOKUP($A82,[0]!Data,163,FALSE)</f>
        <v>9811</v>
      </c>
      <c r="E82" s="358">
        <f>VLOOKUP($A82,[0]!Data,164,FALSE)</f>
        <v>82426</v>
      </c>
      <c r="F82" s="358">
        <f>VLOOKUP($A82,[0]!Data,165,FALSE)</f>
        <v>183614</v>
      </c>
      <c r="G82" s="358">
        <f>VLOOKUP($A82,[0]!Data,167,FALSE)</f>
        <v>160</v>
      </c>
      <c r="H82" s="358">
        <f>VLOOKUP($A82,[0]!Data,175,FALSE)</f>
        <v>93</v>
      </c>
      <c r="I82" s="358">
        <f>VLOOKUP($A82,[0]!Data,170,FALSE)+VLOOKUP($A82,[0]!Data,197,FALSE)</f>
        <v>31518</v>
      </c>
      <c r="J82" s="358">
        <f>VLOOKUP($A82,[0]!Data,171,FALSE)+VLOOKUP($A82,[0]!Data,198,FALSE)</f>
        <v>12073</v>
      </c>
      <c r="K82" s="358">
        <f>VLOOKUP($A82,[0]!Data,196,FALSE)</f>
        <v>90118</v>
      </c>
      <c r="L82" s="360">
        <f>VLOOKUP($A82,[0]!Data,199,FALSE)</f>
        <v>12</v>
      </c>
      <c r="M82"/>
    </row>
    <row r="83" spans="1:13" x14ac:dyDescent="0.25">
      <c r="A83" s="55" t="s">
        <v>1312</v>
      </c>
      <c r="B83" s="40" t="s">
        <v>1868</v>
      </c>
      <c r="C83" s="358">
        <f>VLOOKUP($A83,[0]!Data,162,FALSE)</f>
        <v>36090</v>
      </c>
      <c r="D83" s="358">
        <f>VLOOKUP($A83,[0]!Data,163,FALSE)</f>
        <v>2412</v>
      </c>
      <c r="E83" s="358">
        <f>VLOOKUP($A83,[0]!Data,164,FALSE)</f>
        <v>25728</v>
      </c>
      <c r="F83" s="358">
        <f>VLOOKUP($A83,[0]!Data,165,FALSE)</f>
        <v>64230</v>
      </c>
      <c r="G83" s="358">
        <f>VLOOKUP($A83,[0]!Data,167,FALSE)</f>
        <v>20</v>
      </c>
      <c r="H83" s="358">
        <f>VLOOKUP($A83,[0]!Data,175,FALSE)</f>
        <v>74</v>
      </c>
      <c r="I83" s="358">
        <f>VLOOKUP($A83,[0]!Data,170,FALSE)+VLOOKUP($A83,[0]!Data,197,FALSE)</f>
        <v>8724</v>
      </c>
      <c r="J83" s="358">
        <f>VLOOKUP($A83,[0]!Data,171,FALSE)+VLOOKUP($A83,[0]!Data,198,FALSE)</f>
        <v>321</v>
      </c>
      <c r="K83" s="358">
        <f>VLOOKUP($A83,[0]!Data,196,FALSE)</f>
        <v>36310</v>
      </c>
      <c r="L83" s="360">
        <f>VLOOKUP($A83,[0]!Data,199,FALSE)</f>
        <v>-2</v>
      </c>
      <c r="M83"/>
    </row>
    <row r="84" spans="1:13" x14ac:dyDescent="0.25">
      <c r="A84" s="55" t="s">
        <v>1100</v>
      </c>
      <c r="B84" s="40" t="s">
        <v>1995</v>
      </c>
      <c r="C84" s="358">
        <f>VLOOKUP($A84,[0]!Data,162,FALSE)</f>
        <v>16235</v>
      </c>
      <c r="D84" s="358">
        <f>VLOOKUP($A84,[0]!Data,163,FALSE)</f>
        <v>3231</v>
      </c>
      <c r="E84" s="358">
        <f>VLOOKUP($A84,[0]!Data,164,FALSE)</f>
        <v>12033</v>
      </c>
      <c r="F84" s="358">
        <f>VLOOKUP($A84,[0]!Data,165,FALSE)</f>
        <v>31499</v>
      </c>
      <c r="G84" s="358">
        <f>VLOOKUP($A84,[0]!Data,167,FALSE)</f>
        <v>90</v>
      </c>
      <c r="H84" s="358">
        <f>VLOOKUP($A84,[0]!Data,175,FALSE)</f>
        <v>92</v>
      </c>
      <c r="I84" s="358">
        <f>VLOOKUP($A84,[0]!Data,170,FALSE)+VLOOKUP($A84,[0]!Data,197,FALSE)</f>
        <v>7241</v>
      </c>
      <c r="J84" s="358">
        <f>VLOOKUP($A84,[0]!Data,171,FALSE)+VLOOKUP($A84,[0]!Data,198,FALSE)</f>
        <v>1615</v>
      </c>
      <c r="K84" s="358">
        <f>VLOOKUP($A84,[0]!Data,196,FALSE)</f>
        <v>79221</v>
      </c>
      <c r="L84" s="360">
        <f>VLOOKUP($A84,[0]!Data,199,FALSE)</f>
        <v>50</v>
      </c>
      <c r="M84"/>
    </row>
    <row r="85" spans="1:13" x14ac:dyDescent="0.25">
      <c r="A85" s="55" t="s">
        <v>1281</v>
      </c>
      <c r="B85" s="40" t="s">
        <v>1996</v>
      </c>
      <c r="C85" s="358">
        <f>VLOOKUP($A85,[0]!Data,162,FALSE)</f>
        <v>71687</v>
      </c>
      <c r="D85" s="358">
        <f>VLOOKUP($A85,[0]!Data,163,FALSE)</f>
        <v>6997</v>
      </c>
      <c r="E85" s="358">
        <f>VLOOKUP($A85,[0]!Data,164,FALSE)</f>
        <v>39521</v>
      </c>
      <c r="F85" s="358">
        <f>VLOOKUP($A85,[0]!Data,165,FALSE)</f>
        <v>118205</v>
      </c>
      <c r="G85" s="358">
        <f>VLOOKUP($A85,[0]!Data,167,FALSE)</f>
        <v>219</v>
      </c>
      <c r="H85" s="358">
        <f>VLOOKUP($A85,[0]!Data,175,FALSE)</f>
        <v>94</v>
      </c>
      <c r="I85" s="358">
        <f>VLOOKUP($A85,[0]!Data,170,FALSE)+VLOOKUP($A85,[0]!Data,197,FALSE)</f>
        <v>31716</v>
      </c>
      <c r="J85" s="358">
        <f>VLOOKUP($A85,[0]!Data,171,FALSE)+VLOOKUP($A85,[0]!Data,198,FALSE)</f>
        <v>25900</v>
      </c>
      <c r="K85" s="358">
        <f>VLOOKUP($A85,[0]!Data,196,FALSE)</f>
        <v>147150</v>
      </c>
      <c r="L85" s="360">
        <f>VLOOKUP($A85,[0]!Data,199,FALSE)</f>
        <v>12</v>
      </c>
      <c r="M85"/>
    </row>
    <row r="86" spans="1:13" x14ac:dyDescent="0.25">
      <c r="A86" s="55" t="s">
        <v>1297</v>
      </c>
      <c r="B86" s="40" t="s">
        <v>1997</v>
      </c>
      <c r="C86" s="358">
        <f>VLOOKUP($A86,[0]!Data,162,FALSE)</f>
        <v>169670</v>
      </c>
      <c r="D86" s="358">
        <f>VLOOKUP($A86,[0]!Data,163,FALSE)</f>
        <v>5556</v>
      </c>
      <c r="E86" s="358">
        <f>VLOOKUP($A86,[0]!Data,164,FALSE)</f>
        <v>78758</v>
      </c>
      <c r="F86" s="358">
        <f>VLOOKUP($A86,[0]!Data,165,FALSE)</f>
        <v>253984</v>
      </c>
      <c r="G86" s="358">
        <f>VLOOKUP($A86,[0]!Data,167,FALSE)</f>
        <v>752</v>
      </c>
      <c r="H86" s="358">
        <f>VLOOKUP($A86,[0]!Data,175,FALSE)</f>
        <v>110</v>
      </c>
      <c r="I86" s="358">
        <f>VLOOKUP($A86,[0]!Data,170,FALSE)+VLOOKUP($A86,[0]!Data,197,FALSE)</f>
        <v>123284</v>
      </c>
      <c r="J86" s="358">
        <f>VLOOKUP($A86,[0]!Data,171,FALSE)+VLOOKUP($A86,[0]!Data,198,FALSE)</f>
        <v>111220</v>
      </c>
      <c r="K86" s="358">
        <f>VLOOKUP($A86,[0]!Data,196,FALSE)</f>
        <v>386058</v>
      </c>
      <c r="L86" s="360">
        <f>VLOOKUP($A86,[0]!Data,199,FALSE)</f>
        <v>100</v>
      </c>
      <c r="M86"/>
    </row>
    <row r="87" spans="1:13" x14ac:dyDescent="0.25">
      <c r="A87" s="55" t="s">
        <v>1341</v>
      </c>
      <c r="B87" s="40" t="s">
        <v>1998</v>
      </c>
      <c r="C87" s="358">
        <f>VLOOKUP($A87,[0]!Data,162,FALSE)</f>
        <v>20978</v>
      </c>
      <c r="D87" s="358">
        <f>VLOOKUP($A87,[0]!Data,163,FALSE)</f>
        <v>1619</v>
      </c>
      <c r="E87" s="358">
        <f>VLOOKUP($A87,[0]!Data,164,FALSE)</f>
        <v>16816</v>
      </c>
      <c r="F87" s="358">
        <f>VLOOKUP($A87,[0]!Data,165,FALSE)</f>
        <v>39413</v>
      </c>
      <c r="G87" s="358">
        <f>VLOOKUP($A87,[0]!Data,167,FALSE)</f>
        <v>85</v>
      </c>
      <c r="H87" s="358">
        <f>VLOOKUP($A87,[0]!Data,175,FALSE)</f>
        <v>87</v>
      </c>
      <c r="I87" s="358">
        <f>VLOOKUP($A87,[0]!Data,170,FALSE)+VLOOKUP($A87,[0]!Data,197,FALSE)</f>
        <v>16669</v>
      </c>
      <c r="J87" s="358">
        <f>VLOOKUP($A87,[0]!Data,171,FALSE)+VLOOKUP($A87,[0]!Data,198,FALSE)</f>
        <v>3464</v>
      </c>
      <c r="K87" s="358">
        <f>VLOOKUP($A87,[0]!Data,196,FALSE)</f>
        <v>79121</v>
      </c>
      <c r="L87" s="360">
        <f>VLOOKUP($A87,[0]!Data,199,FALSE)</f>
        <v>50</v>
      </c>
      <c r="M87"/>
    </row>
    <row r="88" spans="1:13" x14ac:dyDescent="0.25">
      <c r="A88" s="55" t="s">
        <v>1409</v>
      </c>
      <c r="B88" s="40" t="s">
        <v>1999</v>
      </c>
      <c r="C88" s="358">
        <f>VLOOKUP($A88,[0]!Data,162,FALSE)</f>
        <v>58970</v>
      </c>
      <c r="D88" s="358">
        <f>VLOOKUP($A88,[0]!Data,163,FALSE)</f>
        <v>9165</v>
      </c>
      <c r="E88" s="358">
        <f>VLOOKUP($A88,[0]!Data,164,FALSE)</f>
        <v>50001</v>
      </c>
      <c r="F88" s="358">
        <f>VLOOKUP($A88,[0]!Data,165,FALSE)</f>
        <v>118136</v>
      </c>
      <c r="G88" s="358">
        <f>VLOOKUP($A88,[0]!Data,167,FALSE)</f>
        <v>121</v>
      </c>
      <c r="H88" s="358">
        <f>VLOOKUP($A88,[0]!Data,175,FALSE)</f>
        <v>98</v>
      </c>
      <c r="I88" s="358">
        <f>VLOOKUP($A88,[0]!Data,170,FALSE)+VLOOKUP($A88,[0]!Data,197,FALSE)</f>
        <v>77580</v>
      </c>
      <c r="J88" s="358">
        <f>VLOOKUP($A88,[0]!Data,171,FALSE)+VLOOKUP($A88,[0]!Data,198,FALSE)</f>
        <v>25088</v>
      </c>
      <c r="K88" s="358">
        <f>VLOOKUP($A88,[0]!Data,196,FALSE)</f>
        <v>297559</v>
      </c>
      <c r="L88" s="360">
        <f>VLOOKUP($A88,[0]!Data,199,FALSE)</f>
        <v>82</v>
      </c>
      <c r="M88"/>
    </row>
    <row r="89" spans="1:13" x14ac:dyDescent="0.25">
      <c r="A89" s="55" t="s">
        <v>1245</v>
      </c>
      <c r="B89" s="40" t="s">
        <v>2000</v>
      </c>
      <c r="C89" s="358">
        <f>VLOOKUP($A89,[0]!Data,162,FALSE)</f>
        <v>9905</v>
      </c>
      <c r="D89" s="358">
        <f>VLOOKUP($A89,[0]!Data,163,FALSE)</f>
        <v>982</v>
      </c>
      <c r="E89" s="358">
        <f>VLOOKUP($A89,[0]!Data,164,FALSE)</f>
        <v>8335</v>
      </c>
      <c r="F89" s="358">
        <f>VLOOKUP($A89,[0]!Data,165,FALSE)</f>
        <v>19222</v>
      </c>
      <c r="G89" s="358">
        <f>VLOOKUP($A89,[0]!Data,167,FALSE)</f>
        <v>28</v>
      </c>
      <c r="H89" s="358">
        <f>VLOOKUP($A89,[0]!Data,175,FALSE)</f>
        <v>87</v>
      </c>
      <c r="I89" s="358">
        <f>VLOOKUP($A89,[0]!Data,170,FALSE)+VLOOKUP($A89,[0]!Data,197,FALSE)</f>
        <v>5430</v>
      </c>
      <c r="J89" s="358">
        <f>VLOOKUP($A89,[0]!Data,171,FALSE)+VLOOKUP($A89,[0]!Data,198,FALSE)</f>
        <v>1804</v>
      </c>
      <c r="K89" s="358">
        <f>VLOOKUP($A89,[0]!Data,196,FALSE)</f>
        <v>52685</v>
      </c>
      <c r="L89" s="360">
        <f>VLOOKUP($A89,[0]!Data,199,FALSE)</f>
        <v>0</v>
      </c>
      <c r="M89"/>
    </row>
    <row r="90" spans="1:13" x14ac:dyDescent="0.25">
      <c r="A90" s="55" t="s">
        <v>1613</v>
      </c>
      <c r="B90" s="40" t="s">
        <v>2001</v>
      </c>
      <c r="C90" s="358">
        <f>VLOOKUP($A90,[0]!Data,162,FALSE)</f>
        <v>18954</v>
      </c>
      <c r="D90" s="358">
        <f>VLOOKUP($A90,[0]!Data,163,FALSE)</f>
        <v>3339</v>
      </c>
      <c r="E90" s="358">
        <f>VLOOKUP($A90,[0]!Data,164,FALSE)</f>
        <v>13511</v>
      </c>
      <c r="F90" s="358">
        <f>VLOOKUP($A90,[0]!Data,165,FALSE)</f>
        <v>35804</v>
      </c>
      <c r="G90" s="358">
        <f>VLOOKUP($A90,[0]!Data,167,FALSE)</f>
        <v>47</v>
      </c>
      <c r="H90" s="358">
        <f>VLOOKUP($A90,[0]!Data,175,FALSE)</f>
        <v>88</v>
      </c>
      <c r="I90" s="358">
        <f>VLOOKUP($A90,[0]!Data,170,FALSE)+VLOOKUP($A90,[0]!Data,197,FALSE)</f>
        <v>7725</v>
      </c>
      <c r="J90" s="358">
        <f>VLOOKUP($A90,[0]!Data,171,FALSE)+VLOOKUP($A90,[0]!Data,198,FALSE)</f>
        <v>3191</v>
      </c>
      <c r="K90" s="358">
        <f>VLOOKUP($A90,[0]!Data,196,FALSE)</f>
        <v>79501</v>
      </c>
      <c r="L90" s="360">
        <f>VLOOKUP($A90,[0]!Data,199,FALSE)</f>
        <v>42</v>
      </c>
      <c r="M90"/>
    </row>
    <row r="91" spans="1:13" x14ac:dyDescent="0.25">
      <c r="A91" s="55" t="s">
        <v>1742</v>
      </c>
      <c r="B91" s="40" t="s">
        <v>2002</v>
      </c>
      <c r="C91" s="358">
        <f>VLOOKUP($A91,[0]!Data,162,FALSE)</f>
        <v>44877</v>
      </c>
      <c r="D91" s="358">
        <f>VLOOKUP($A91,[0]!Data,163,FALSE)</f>
        <v>3091</v>
      </c>
      <c r="E91" s="358">
        <f>VLOOKUP($A91,[0]!Data,164,FALSE)</f>
        <v>20134</v>
      </c>
      <c r="F91" s="358">
        <f>VLOOKUP($A91,[0]!Data,165,FALSE)</f>
        <v>68102</v>
      </c>
      <c r="G91" s="358">
        <f>VLOOKUP($A91,[0]!Data,167,FALSE)</f>
        <v>115</v>
      </c>
      <c r="H91" s="358">
        <f>VLOOKUP($A91,[0]!Data,175,FALSE)</f>
        <v>108</v>
      </c>
      <c r="I91" s="358">
        <f>VLOOKUP($A91,[0]!Data,170,FALSE)+VLOOKUP($A91,[0]!Data,197,FALSE)</f>
        <v>22013</v>
      </c>
      <c r="J91" s="358">
        <f>VLOOKUP($A91,[0]!Data,171,FALSE)+VLOOKUP($A91,[0]!Data,198,FALSE)</f>
        <v>2509</v>
      </c>
      <c r="K91" s="358">
        <f>VLOOKUP($A91,[0]!Data,196,FALSE)</f>
        <v>89545</v>
      </c>
      <c r="L91" s="360">
        <f>VLOOKUP($A91,[0]!Data,199,FALSE)</f>
        <v>31</v>
      </c>
      <c r="M91"/>
    </row>
    <row r="92" spans="1:13" x14ac:dyDescent="0.25">
      <c r="A92" s="55" t="s">
        <v>1178</v>
      </c>
      <c r="B92" s="40" t="s">
        <v>2003</v>
      </c>
      <c r="C92" s="358">
        <f>VLOOKUP($A92,[0]!Data,162,FALSE)</f>
        <v>34940</v>
      </c>
      <c r="D92" s="358">
        <f>VLOOKUP($A92,[0]!Data,163,FALSE)</f>
        <v>2791</v>
      </c>
      <c r="E92" s="358">
        <f>VLOOKUP($A92,[0]!Data,164,FALSE)</f>
        <v>15536</v>
      </c>
      <c r="F92" s="358">
        <f>VLOOKUP($A92,[0]!Data,165,FALSE)</f>
        <v>53267</v>
      </c>
      <c r="G92" s="358">
        <f>VLOOKUP($A92,[0]!Data,167,FALSE)</f>
        <v>12</v>
      </c>
      <c r="H92" s="358">
        <f>VLOOKUP($A92,[0]!Data,175,FALSE)</f>
        <v>89</v>
      </c>
      <c r="I92" s="358">
        <f>VLOOKUP($A92,[0]!Data,170,FALSE)+VLOOKUP($A92,[0]!Data,197,FALSE)</f>
        <v>10007</v>
      </c>
      <c r="J92" s="358">
        <f>VLOOKUP($A92,[0]!Data,171,FALSE)+VLOOKUP($A92,[0]!Data,198,FALSE)</f>
        <v>4502</v>
      </c>
      <c r="K92" s="358">
        <f>VLOOKUP($A92,[0]!Data,196,FALSE)</f>
        <v>79203</v>
      </c>
      <c r="L92" s="360">
        <f>VLOOKUP($A92,[0]!Data,199,FALSE)</f>
        <v>0</v>
      </c>
      <c r="M92"/>
    </row>
    <row r="93" spans="1:13" x14ac:dyDescent="0.25">
      <c r="A93" s="661" t="s">
        <v>1882</v>
      </c>
      <c r="B93" s="662"/>
      <c r="C93" s="61">
        <f t="shared" ref="C93:L93" si="2">AVERAGE(C82:C92)</f>
        <v>52153</v>
      </c>
      <c r="D93" s="61">
        <f t="shared" si="2"/>
        <v>4454</v>
      </c>
      <c r="E93" s="61">
        <f t="shared" si="2"/>
        <v>32981.727272727272</v>
      </c>
      <c r="F93" s="61">
        <f t="shared" si="2"/>
        <v>89588.727272727279</v>
      </c>
      <c r="G93" s="61">
        <f t="shared" si="2"/>
        <v>149.90909090909091</v>
      </c>
      <c r="H93" s="61"/>
      <c r="I93" s="61">
        <f t="shared" si="2"/>
        <v>31082.454545454544</v>
      </c>
      <c r="J93" s="61">
        <f t="shared" si="2"/>
        <v>17426.090909090908</v>
      </c>
      <c r="K93" s="61">
        <f t="shared" si="2"/>
        <v>128770.09090909091</v>
      </c>
      <c r="L93" s="64">
        <f t="shared" si="2"/>
        <v>34.272727272727273</v>
      </c>
      <c r="M93"/>
    </row>
    <row r="94" spans="1:13" ht="15.75" thickBot="1" x14ac:dyDescent="0.3">
      <c r="A94" s="94"/>
      <c r="B94" s="119"/>
      <c r="C94" s="110"/>
      <c r="D94" s="344"/>
      <c r="E94" s="344"/>
      <c r="F94" s="344"/>
      <c r="G94" s="344"/>
      <c r="H94" s="344"/>
      <c r="I94" s="363"/>
      <c r="J94" s="363"/>
      <c r="K94" s="363"/>
      <c r="L94" s="364"/>
      <c r="M94"/>
    </row>
    <row r="95" spans="1:13" ht="15.75" thickTop="1" x14ac:dyDescent="0.25">
      <c r="A95" s="654" t="s">
        <v>1883</v>
      </c>
      <c r="B95" s="655"/>
      <c r="C95" s="365">
        <f>AVERAGE(C82:C92,C68:C79,C8:C65)</f>
        <v>112854.50617283951</v>
      </c>
      <c r="D95" s="365">
        <f t="shared" ref="D95:K95" si="3">AVERAGE(D82:D92,D68:D79,D8:D65)</f>
        <v>9346.7407407407409</v>
      </c>
      <c r="E95" s="365">
        <f t="shared" si="3"/>
        <v>69052.864197530871</v>
      </c>
      <c r="F95" s="365">
        <f t="shared" si="3"/>
        <v>191651.53086419753</v>
      </c>
      <c r="G95" s="365">
        <f t="shared" si="3"/>
        <v>251.90123456790124</v>
      </c>
      <c r="H95" s="365"/>
      <c r="I95" s="365">
        <f t="shared" si="3"/>
        <v>21245.888888888891</v>
      </c>
      <c r="J95" s="365">
        <f t="shared" si="3"/>
        <v>12477.024691358025</v>
      </c>
      <c r="K95" s="365">
        <f t="shared" si="3"/>
        <v>81473.246913580253</v>
      </c>
      <c r="L95" s="366">
        <f>AVERAGE(L82:L92,L68:L79,L8:L65)</f>
        <v>34.641975308641975</v>
      </c>
      <c r="M95"/>
    </row>
  </sheetData>
  <mergeCells count="8">
    <mergeCell ref="A93:B93"/>
    <mergeCell ref="A95:B95"/>
    <mergeCell ref="B4:B6"/>
    <mergeCell ref="C4:G4"/>
    <mergeCell ref="I4:L4"/>
    <mergeCell ref="A66:B66"/>
    <mergeCell ref="A67:B67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Summary</vt:lpstr>
      <vt:lpstr>Table 1</vt:lpstr>
      <vt:lpstr>Table 2</vt:lpstr>
      <vt:lpstr>Table 3</vt:lpstr>
      <vt:lpstr>Table  4</vt:lpstr>
      <vt:lpstr>Table 5</vt:lpstr>
      <vt:lpstr>Table 6</vt:lpstr>
      <vt:lpstr>Table 8</vt:lpstr>
      <vt:lpstr>Table 7</vt:lpstr>
      <vt:lpstr>Table 9</vt:lpstr>
      <vt:lpstr>Table 10</vt:lpstr>
      <vt:lpstr>Table 11</vt:lpstr>
      <vt:lpstr>Table 12</vt:lpstr>
      <vt:lpstr>Table 13</vt:lpstr>
      <vt:lpstr>Table 14</vt:lpstr>
      <vt:lpstr>All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Amanda</dc:creator>
  <cp:lastModifiedBy>Johnson, Amanda</cp:lastModifiedBy>
  <dcterms:created xsi:type="dcterms:W3CDTF">2017-12-13T15:46:04Z</dcterms:created>
  <dcterms:modified xsi:type="dcterms:W3CDTF">2019-01-14T15:43:39Z</dcterms:modified>
</cp:coreProperties>
</file>